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connections.xml" ContentType="application/vnd.openxmlformats-officedocument.spreadsheetml.connection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0" yWindow="1560" windowWidth="20490" windowHeight="7395"/>
  </bookViews>
  <sheets>
    <sheet name="Indicadores 2018" sheetId="5" r:id="rId1"/>
  </sheets>
  <definedNames>
    <definedName name="_xlnm._FilterDatabase" localSheetId="0" hidden="1">'Indicadores 2018'!$A$1:$AB$81</definedName>
  </definedNames>
  <calcPr calcId="145621"/>
</workbook>
</file>

<file path=xl/calcChain.xml><?xml version="1.0" encoding="utf-8"?>
<calcChain xmlns="http://schemas.openxmlformats.org/spreadsheetml/2006/main">
  <c r="X67" i="5" l="1"/>
  <c r="W67" i="5"/>
  <c r="U67" i="5"/>
  <c r="T67" i="5"/>
  <c r="R67" i="5"/>
  <c r="Q67" i="5"/>
  <c r="O67" i="5"/>
  <c r="N67" i="5"/>
  <c r="L67" i="5"/>
  <c r="K67" i="5"/>
  <c r="I67" i="5"/>
  <c r="J120" i="5"/>
  <c r="X66" i="5"/>
  <c r="W66" i="5"/>
  <c r="U70" i="5"/>
  <c r="X70" i="5" s="1"/>
  <c r="X48" i="5"/>
  <c r="W48" i="5"/>
  <c r="X47" i="5"/>
  <c r="W47" i="5"/>
  <c r="X46" i="5"/>
  <c r="W46" i="5"/>
  <c r="X45" i="5"/>
  <c r="W45" i="5"/>
  <c r="U24" i="5"/>
  <c r="X24" i="5" s="1"/>
  <c r="U23" i="5"/>
  <c r="X23" i="5" s="1"/>
  <c r="L37" i="5"/>
  <c r="O37" i="5" s="1"/>
  <c r="R37" i="5" s="1"/>
  <c r="U37" i="5" s="1"/>
  <c r="X37" i="5" s="1"/>
  <c r="X15" i="5"/>
  <c r="X17" i="5"/>
  <c r="O17" i="5"/>
  <c r="W17" i="5"/>
  <c r="X16" i="5"/>
  <c r="W16" i="5"/>
  <c r="X13" i="5"/>
  <c r="W13" i="5"/>
  <c r="X12" i="5"/>
  <c r="W12" i="5"/>
  <c r="X65" i="5"/>
  <c r="X64" i="5"/>
  <c r="X63" i="5"/>
  <c r="X62" i="5"/>
  <c r="X73" i="5"/>
  <c r="W73" i="5"/>
  <c r="U73" i="5"/>
  <c r="T73" i="5"/>
  <c r="R73" i="5"/>
  <c r="Q73" i="5"/>
  <c r="O73" i="5"/>
  <c r="N73" i="5"/>
  <c r="L73" i="5"/>
  <c r="K73" i="5"/>
  <c r="U60" i="5"/>
  <c r="X60" i="5" s="1"/>
  <c r="X58" i="5"/>
  <c r="W58" i="5"/>
  <c r="X59" i="5"/>
  <c r="U57" i="5"/>
  <c r="T57" i="5"/>
  <c r="X57" i="5"/>
  <c r="W57" i="5"/>
  <c r="X56" i="5"/>
  <c r="W56" i="5"/>
  <c r="L61" i="5"/>
  <c r="O61" i="5" s="1"/>
  <c r="R61" i="5" s="1"/>
  <c r="U61" i="5" s="1"/>
  <c r="X61" i="5" s="1"/>
  <c r="X78" i="5"/>
  <c r="W78" i="5"/>
  <c r="X77" i="5"/>
  <c r="W77" i="5"/>
  <c r="X76" i="5"/>
  <c r="W76" i="5"/>
  <c r="W74" i="5"/>
  <c r="X74" i="5" s="1"/>
  <c r="X34" i="5"/>
  <c r="W34" i="5"/>
  <c r="O30" i="5"/>
  <c r="R30" i="5" s="1"/>
  <c r="U30" i="5" s="1"/>
  <c r="X30" i="5" s="1"/>
  <c r="X68" i="5"/>
  <c r="W68" i="5"/>
  <c r="X9" i="5"/>
  <c r="X51" i="5"/>
  <c r="W51" i="5"/>
  <c r="L50" i="5"/>
  <c r="O50" i="5" s="1"/>
  <c r="R50" i="5" s="1"/>
  <c r="U50" i="5" s="1"/>
  <c r="X50" i="5" s="1"/>
  <c r="L49" i="5"/>
  <c r="O49" i="5" s="1"/>
  <c r="R49" i="5" s="1"/>
  <c r="U49" i="5" s="1"/>
  <c r="X49" i="5" s="1"/>
  <c r="X22" i="5"/>
  <c r="X21" i="5"/>
  <c r="X20" i="5"/>
  <c r="T55" i="5"/>
  <c r="X54" i="5"/>
  <c r="W54" i="5"/>
  <c r="X52" i="5"/>
  <c r="W52" i="5"/>
  <c r="X53" i="5"/>
  <c r="X14" i="5"/>
  <c r="X11" i="5"/>
  <c r="X42" i="5"/>
  <c r="W42" i="5"/>
  <c r="W41" i="5"/>
  <c r="X41" i="5"/>
  <c r="X40" i="5"/>
  <c r="X39" i="5"/>
  <c r="U39" i="5"/>
  <c r="W39" i="5"/>
  <c r="X10" i="5"/>
  <c r="X8" i="5"/>
  <c r="X79" i="5"/>
  <c r="W79" i="5"/>
  <c r="X81" i="5"/>
  <c r="W81" i="5"/>
  <c r="X80" i="5"/>
  <c r="W80" i="5"/>
  <c r="X3" i="5"/>
  <c r="W3" i="5"/>
  <c r="L33" i="5"/>
  <c r="O33" i="5" s="1"/>
  <c r="R33" i="5" s="1"/>
  <c r="U33" i="5" s="1"/>
  <c r="X33" i="5" s="1"/>
  <c r="U81" i="5"/>
  <c r="T81" i="5"/>
  <c r="R81" i="5"/>
  <c r="Q81" i="5"/>
  <c r="U45" i="5"/>
  <c r="T45" i="5"/>
  <c r="R45" i="5"/>
  <c r="Q45" i="5"/>
  <c r="O45" i="5"/>
  <c r="N45" i="5"/>
  <c r="L45" i="5"/>
  <c r="K45" i="5"/>
  <c r="U48" i="5"/>
  <c r="T48" i="5"/>
  <c r="R48" i="5"/>
  <c r="Q48" i="5"/>
  <c r="L48" i="5"/>
  <c r="O48" i="5"/>
  <c r="N48" i="5"/>
  <c r="K48" i="5"/>
  <c r="I48" i="5"/>
  <c r="U47" i="5"/>
  <c r="T47" i="5"/>
  <c r="R47" i="5"/>
  <c r="Q47" i="5"/>
  <c r="O47" i="5"/>
  <c r="N47" i="5"/>
  <c r="L47" i="5"/>
  <c r="K47" i="5"/>
  <c r="I47" i="5"/>
  <c r="U46" i="5"/>
  <c r="T46" i="5"/>
  <c r="R46" i="5"/>
  <c r="Q46" i="5"/>
  <c r="O46" i="5"/>
  <c r="N46" i="5"/>
  <c r="L46" i="5"/>
  <c r="K46" i="5"/>
  <c r="I46" i="5"/>
  <c r="R17" i="5"/>
  <c r="U17" i="5"/>
  <c r="N17" i="5"/>
  <c r="R14" i="5"/>
  <c r="O13" i="5"/>
  <c r="U13" i="5" s="1"/>
  <c r="O12" i="5"/>
  <c r="R12" i="5"/>
  <c r="U12" i="5"/>
  <c r="U16" i="5"/>
  <c r="O16" i="5"/>
  <c r="R16" i="5" s="1"/>
  <c r="N16" i="5"/>
  <c r="L16" i="5"/>
  <c r="K16" i="5"/>
  <c r="U28" i="5"/>
  <c r="X28" i="5" s="1"/>
  <c r="U27" i="5"/>
  <c r="X27" i="5" s="1"/>
  <c r="U26" i="5"/>
  <c r="X26" i="5" s="1"/>
  <c r="U10" i="5"/>
  <c r="R10" i="5"/>
  <c r="U7" i="5"/>
  <c r="X7" i="5" s="1"/>
  <c r="R7" i="5"/>
  <c r="U4" i="5"/>
  <c r="X4" i="5" s="1"/>
  <c r="U5" i="5"/>
  <c r="X5" i="5" s="1"/>
  <c r="L38" i="5"/>
  <c r="O38" i="5" s="1"/>
  <c r="R38" i="5" s="1"/>
  <c r="U38" i="5" s="1"/>
  <c r="X38" i="5" s="1"/>
  <c r="R36" i="5"/>
  <c r="U36" i="5" s="1"/>
  <c r="X36" i="5" s="1"/>
  <c r="K35" i="5"/>
  <c r="L35" i="5"/>
  <c r="O35" i="5" s="1"/>
  <c r="R35" i="5" s="1"/>
  <c r="U35" i="5" s="1"/>
  <c r="X35" i="5" s="1"/>
  <c r="U34" i="5"/>
  <c r="T34" i="5"/>
  <c r="R34" i="5"/>
  <c r="Q34" i="5"/>
  <c r="O34" i="5"/>
  <c r="N34" i="5"/>
  <c r="K34" i="5"/>
  <c r="L34" i="5"/>
  <c r="I34" i="5"/>
  <c r="R32" i="5"/>
  <c r="U32" i="5" s="1"/>
  <c r="X32" i="5" s="1"/>
  <c r="O31" i="5"/>
  <c r="R31" i="5" s="1"/>
  <c r="U31" i="5" s="1"/>
  <c r="X31" i="5" s="1"/>
  <c r="U29" i="5"/>
  <c r="R29" i="5"/>
  <c r="X29" i="5" s="1"/>
  <c r="L21" i="5"/>
  <c r="R20" i="5"/>
  <c r="O20" i="5"/>
  <c r="L20" i="5"/>
  <c r="U19" i="5"/>
  <c r="X19" i="5" s="1"/>
  <c r="U18" i="5"/>
  <c r="X18" i="5" s="1"/>
  <c r="O76" i="5"/>
  <c r="R76" i="5"/>
  <c r="U76" i="5" s="1"/>
  <c r="L75" i="5"/>
  <c r="O75" i="5" s="1"/>
  <c r="X75" i="5" s="1"/>
  <c r="K75" i="5"/>
  <c r="U51" i="5"/>
  <c r="T51" i="5"/>
  <c r="R51" i="5"/>
  <c r="Q51" i="5"/>
  <c r="O51" i="5"/>
  <c r="N51" i="5"/>
  <c r="L51" i="5"/>
  <c r="K51" i="5"/>
  <c r="I51" i="5"/>
  <c r="R75" i="5"/>
  <c r="U41" i="5"/>
  <c r="T41" i="5"/>
  <c r="R41" i="5"/>
  <c r="Q41" i="5"/>
  <c r="O41" i="5"/>
  <c r="N41" i="5"/>
  <c r="U58" i="5"/>
  <c r="T58" i="5"/>
  <c r="R58" i="5"/>
  <c r="Q58" i="5"/>
  <c r="N58" i="5"/>
  <c r="O58" i="5"/>
  <c r="L58" i="5"/>
  <c r="K58" i="5"/>
  <c r="I58" i="5"/>
  <c r="T60" i="5"/>
  <c r="R57" i="5"/>
  <c r="Q57" i="5"/>
  <c r="O57" i="5"/>
  <c r="N57" i="5"/>
  <c r="L57" i="5"/>
  <c r="K57" i="5"/>
  <c r="I57" i="5"/>
  <c r="U56" i="5"/>
  <c r="T56" i="5"/>
  <c r="R56" i="5"/>
  <c r="Q56" i="5"/>
  <c r="N56" i="5"/>
  <c r="O56" i="5"/>
  <c r="L56" i="5"/>
  <c r="K56" i="5"/>
  <c r="I56" i="5"/>
  <c r="U54" i="5"/>
  <c r="T54" i="5"/>
  <c r="R54" i="5"/>
  <c r="Q54" i="5"/>
  <c r="N54" i="5"/>
  <c r="O54" i="5"/>
  <c r="L54" i="5"/>
  <c r="K54" i="5"/>
  <c r="I54" i="5"/>
  <c r="U42" i="5"/>
  <c r="T42" i="5"/>
  <c r="R42" i="5"/>
  <c r="Q42" i="5"/>
  <c r="O42" i="5"/>
  <c r="N42" i="5"/>
  <c r="L42" i="5"/>
  <c r="K42" i="5"/>
  <c r="I42" i="5"/>
  <c r="K41" i="5"/>
  <c r="L41" i="5"/>
  <c r="I41" i="5"/>
  <c r="U40" i="5"/>
  <c r="O40" i="5"/>
  <c r="T39" i="5"/>
  <c r="R39" i="5"/>
  <c r="Q39" i="5"/>
  <c r="N39" i="5"/>
  <c r="L39" i="5"/>
  <c r="K39" i="5"/>
  <c r="I39" i="5"/>
  <c r="U52" i="5"/>
  <c r="T52" i="5"/>
  <c r="R52" i="5"/>
  <c r="Q52" i="5"/>
  <c r="O52" i="5"/>
  <c r="N52" i="5"/>
  <c r="L52" i="5"/>
  <c r="K52" i="5"/>
  <c r="I52" i="5"/>
  <c r="U66" i="5"/>
  <c r="T66" i="5"/>
  <c r="R66" i="5"/>
  <c r="Q66" i="5"/>
  <c r="O66" i="5"/>
  <c r="N66" i="5"/>
  <c r="L66" i="5"/>
  <c r="K66" i="5"/>
  <c r="I66" i="5"/>
  <c r="I73" i="5"/>
  <c r="R71" i="5"/>
  <c r="X71" i="5" s="1"/>
  <c r="Q71" i="5"/>
  <c r="U69" i="5"/>
  <c r="R69" i="5"/>
  <c r="X69" i="5" s="1"/>
  <c r="U79" i="5"/>
  <c r="T79" i="5"/>
  <c r="R79" i="5"/>
  <c r="Q79" i="5"/>
  <c r="N79" i="5"/>
  <c r="L79" i="5"/>
  <c r="K79" i="5"/>
  <c r="I79" i="5"/>
  <c r="O79" i="5"/>
  <c r="L80" i="5"/>
  <c r="U80" i="5"/>
  <c r="T80" i="5"/>
  <c r="R80" i="5"/>
  <c r="Q80" i="5"/>
  <c r="O80" i="5"/>
  <c r="N80" i="5"/>
  <c r="K80" i="5"/>
  <c r="I80" i="5"/>
  <c r="I3" i="5"/>
  <c r="U3" i="5" s="1"/>
  <c r="R3" i="5"/>
  <c r="L2" i="5"/>
  <c r="O2" i="5" s="1"/>
  <c r="R2" i="5" s="1"/>
  <c r="U2" i="5" s="1"/>
  <c r="X2" i="5" s="1"/>
  <c r="L3" i="5"/>
  <c r="O3" i="5"/>
  <c r="N13" i="5"/>
  <c r="N12" i="5"/>
  <c r="O39" i="5"/>
  <c r="N76" i="5"/>
  <c r="R13" i="5" l="1"/>
  <c r="U75" i="5"/>
  <c r="U71" i="5"/>
</calcChain>
</file>

<file path=xl/connections.xml><?xml version="1.0" encoding="utf-8"?>
<connections xmlns="http://schemas.openxmlformats.org/spreadsheetml/2006/main">
  <connection id="1" sourceFile="C:\SINAPSIS_VIV\SINAPSIS_2016\SINAPSIS_VR_ 0213-2015.mdb" odcFile="C:\Users\hernando\Documents\Mis archivos de origen de datos\SINAPSIS_VR_ 0213-2015 PARA_TDINA.od.odc" keepAlive="1" name="SINAPSIS_VR_ 0213-2015 PARA_TDINA.od" type="5" refreshedVersion="0">
    <dbPr connection="Provider=Microsoft.ACE.OLEDB.12.0;Password=&quot;&quot;;User ID=Admin;Data Source=C:\SINAPSIS_VIV\SINAPSIS_2016\SINAPSIS_VR_ 0213-2015.mdb;Mode=ReadWrite;Extended Properties=&quot;&quot;;Jet OLEDB:System database=&quot;&quot;;Jet OLEDB:Registry Path=&quot;&quot;;Jet OLEDB:Database Password=&quot;&quot;;Jet OLEDB:Engine Type=5;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PARA_TDINA" commandType="3"/>
  </connection>
  <connection id="2" sourceFile="C:\SINAPSIS_VIV\SINAPSIS_2016\SINAPSIS_VR_ 0213-2016.mdb" keepAlive="1" name="SINAPSIS_VR_ 0213-2016" type="5" refreshedVersion="6">
    <dbPr connection="Provider=Microsoft.ACE.OLEDB.12.0;User ID=Admin;Data Source=C:\SINAPSIS_VIV\SINAPSIS_2016\SINAPSIS_VR_ 0213-2016.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ORIG_DINDICA" commandType="3"/>
  </connection>
</connections>
</file>

<file path=xl/sharedStrings.xml><?xml version="1.0" encoding="utf-8"?>
<sst xmlns="http://schemas.openxmlformats.org/spreadsheetml/2006/main" count="1562" uniqueCount="535">
  <si>
    <t>Nombre Indicador</t>
  </si>
  <si>
    <t>Objetivo Estratégico</t>
  </si>
  <si>
    <t>Proceso Estratégico</t>
  </si>
  <si>
    <t>Proceso S.I.G</t>
  </si>
  <si>
    <t>Porcentaje de avance del Plan Institucional de Capacitación, formulado, implementado y publicado en la Intranet.</t>
  </si>
  <si>
    <t>Proceso Misional</t>
  </si>
  <si>
    <t>Viviendas de interés prioritario iniciadas en el programa de vivienda - VIPA</t>
  </si>
  <si>
    <t>Viviendas de interés prioritario y social iniciadas en el Programa de Cobertura Condicionada para Créditos de Vivienda Segunda Generación - "Frech"</t>
  </si>
  <si>
    <t>Viviendas iniciadas de interés prioritario programa de vivienda gratis segunda fase</t>
  </si>
  <si>
    <t>Viviendas de interés social iniciadas en el Programa de promoción y acceso a vivienda de interés social - "Mi Casa Ya"</t>
  </si>
  <si>
    <t>Porcentaje de Subsisdios Familiares de Vivienda en Especie asignados a Población desplazada en el programa de vivienda gratuita</t>
  </si>
  <si>
    <t>Viviendas escrituradas del Programa de Vivienda Gratuita 1 y 2</t>
  </si>
  <si>
    <t>Viviendas terminadas del Programa de Vivienda Gratuita 1 y 2</t>
  </si>
  <si>
    <t>Porcentaje de hogares urbanos en condiciones de déficit de vivienda cuantitativo</t>
  </si>
  <si>
    <t>Porcentaje de hogares urbanos en condiciones de déficit de vivienda cualitativo</t>
  </si>
  <si>
    <t>Estudios y Propuestas normativas y de política orientadas a optimizar el marco normativo en materia de Vivienda de desarrollo urbano y territorial sostenible</t>
  </si>
  <si>
    <t>Porcentaje de avance del Programa de Gestión Documental elaborado e implementado.</t>
  </si>
  <si>
    <t>Proceso de Apoyo</t>
  </si>
  <si>
    <t>Facilitar el acceso a un documento o grupo de documentos con el fin de garantizar el derecho que tienen los usuarios para acceder a la información contenida en los archivos publicos propendiendo por la disminción de tiempos de atención</t>
  </si>
  <si>
    <t>Mejorar el desempeño de los servidores públicos de la Entidad, mediante estrategias administrativas y operativas de selección, vinculación, capacitación, seguridad y salud en el trabajo, para garantizar la competencia y el bienestar del personal.</t>
  </si>
  <si>
    <t>Grupo de Comunicaciones estratégicas</t>
  </si>
  <si>
    <t>Productos de comunicación aprobados para los canales de comunicación interna.</t>
  </si>
  <si>
    <t>Productos de comunicación aprobados para los canales de comunicación externa.</t>
  </si>
  <si>
    <t xml:space="preserve">Capacitaciones en materia contractual. </t>
  </si>
  <si>
    <t xml:space="preserve">Atención a solicitudes de actuaciones disciplinarias 
</t>
  </si>
  <si>
    <t xml:space="preserve">Cumplimiento cronograma actividades de sensibilización  </t>
  </si>
  <si>
    <t xml:space="preserve">Elaboración y publicación del anteproyecto anual de presupuesto </t>
  </si>
  <si>
    <t>Personas con acceso a agua potable (Millones)</t>
  </si>
  <si>
    <t>Personas con acceso a una solución de alcantarillado (Millones)</t>
  </si>
  <si>
    <t>Porcentaje de aguas residuales urbanas tratadas</t>
  </si>
  <si>
    <t>Personas con manejo adecuado de aguas residuales en la zona rural (Millones)</t>
  </si>
  <si>
    <t>Personas con acceso a agua potable en la zona rural (Millones)</t>
  </si>
  <si>
    <t>Estudios  y propuestas de nuevas disposiciones o modificaciones normativas o de politica del sector (APSB)</t>
  </si>
  <si>
    <t>Municipios con acciones de reducción de riesgo por desabastecimiento en temporada seca ejecutadas</t>
  </si>
  <si>
    <t>Avance de ejecución  plan anual de Adquisiciones formulado y actualizado de gastos Generales, de acuerdo a los linemientos de Colombia Compra eficiente.</t>
  </si>
  <si>
    <t>Porcentaje de avance componente GEL - TIC para la Gestión</t>
  </si>
  <si>
    <t>Grupo de Talento Humano</t>
  </si>
  <si>
    <t>Porcentaje de avance del Plan Anual de Empleos Vacantes actualizado y publicado en la página web institucional.</t>
  </si>
  <si>
    <t>Porcentaje de avance del Plan anual de Trabajo de Seguridad y Salud en el Trabajo</t>
  </si>
  <si>
    <t>Porcentaje de avance del programa de bienestar social e incentivos, formulado, implementado y publicado en la intranet.</t>
  </si>
  <si>
    <t>Porcentaje de avance del Plan Estratégico de recursos humanos formulado, implementado y publicado en la página web institucional.</t>
  </si>
  <si>
    <t>Porcentaje de PAC Ejecutado</t>
  </si>
  <si>
    <t>Títulos de predios fiscales y privados generados</t>
  </si>
  <si>
    <t>Oficina Asesora de Planeación</t>
  </si>
  <si>
    <t>Modelos de gestión integrados</t>
  </si>
  <si>
    <t>Articular los modelos de gestión dentro del sistema Integrado de la entidad mediante  estandarización de los procesos para cumplir los requisitos establecidos en la normatividad vigente.</t>
  </si>
  <si>
    <t>Oficina Asesora Jurídica</t>
  </si>
  <si>
    <t>Oficina de Control Interno</t>
  </si>
  <si>
    <t>Cumplimiento de las actividades del Programa anual de auditoría</t>
  </si>
  <si>
    <t>Asesorar, acompañar, evaluar y verificar la conformidad del Sistema de Control Interno del Ministerio de Vivienda, Ciudad y Territorio y FONVIVIENDA,  de forma independiente, objetiva y oportuna.</t>
  </si>
  <si>
    <t>Oficina de tecnologías de la Información y Comunicaciones</t>
  </si>
  <si>
    <t>Porcentaje de avance componente GEL - Seguridad y privacidad en la Información</t>
  </si>
  <si>
    <t>Porcentaje de avance componente GEL - TIC para Servicios</t>
  </si>
  <si>
    <t>Porcentaje de avance componente GEL - TIC para Gobierno Abierto</t>
  </si>
  <si>
    <t>Actuaciones Urbanas Integrales Evaluadas</t>
  </si>
  <si>
    <t>Nuevas personas beneficiadas con proyectos que mejoran provisión, calidad y/o continuidad de los servicios de acueducto y alcantarillado</t>
  </si>
  <si>
    <t>Porcentaje de Municipios que tratan adecuadamente los Residuos Sólidos</t>
  </si>
  <si>
    <t>PDA con planes de aseguramiento en implementación</t>
  </si>
  <si>
    <t>Entidades territoriales asistidas:
Para el Desarrollo del programa de Conexiones Intradomiciliarias (PCI) de acuerdo con el Plan Nacional de Desarrollo.</t>
  </si>
  <si>
    <t>CDP´s y RP´s Expedidos</t>
  </si>
  <si>
    <t>Informes de Estados Financieros</t>
  </si>
  <si>
    <t>Estudios y Propuestas normativas y de política orientadas a optimizar el marco normativo en materia de Vivienda de desarrollo urbano y territorial sostenible.</t>
  </si>
  <si>
    <t>Municipios Capacitados y/o apoyados técnicamente para la revisión de los planes de ordenamiento Territorial (POT)</t>
  </si>
  <si>
    <t>Municipios capacitados en la elaboración del inventario de asentamientos en zonas de alto riesgo</t>
  </si>
  <si>
    <t xml:space="preserve">Municipios Capacitados en la incorporación de la gestión del riesgo en la revisión de sus POT  </t>
  </si>
  <si>
    <t>Subsidios asignados para Viviendas de interés social iniciadas en el Programa de promoción y acceso a vivienda de interés social - "Mi Casa Ya"</t>
  </si>
  <si>
    <t xml:space="preserve"> Dirección de Programas - Viceministro de Agua y Saneamiento </t>
  </si>
  <si>
    <t xml:space="preserve">Dirección de Desarrollo Sectorial - Viceministro de Agua y Saneamiento </t>
  </si>
  <si>
    <t xml:space="preserve">Dirección del Sistema Habitacional - Viceministro de Vivienda </t>
  </si>
  <si>
    <t xml:space="preserve">Dirección del Sistema Habitacional - Grupo de Titulación - Viceministro de Vivienda </t>
  </si>
  <si>
    <t xml:space="preserve"> Dirección de Espacio Urbano y Territorial - Subdirección de Asistencia Técnica y Operaciones Urbanas Integrales -Viceministro de Vivienda </t>
  </si>
  <si>
    <t xml:space="preserve"> Dirección de Espacio Urbano y Territorial - Subdirección de Políticas de Desarrollo Urbano Y Territorial -Viceministro de Vivienda </t>
  </si>
  <si>
    <t xml:space="preserve">Dirección de Inversiones en Vivienda de Interés Social - Viceministro de Vivienda </t>
  </si>
  <si>
    <t xml:space="preserve">Dirección de Inversiones en Vivienda de Interés Social - Subdirección de Subsidio Familiar de Vivienda - Viceministro de Vivienda </t>
  </si>
  <si>
    <t xml:space="preserve"> Subdirección de Finanzas y Presupuesto - Secretaría General  </t>
  </si>
  <si>
    <t>Subdirección de Servicios Administrativos - Grupo de Contratos - Secretaría General</t>
  </si>
  <si>
    <t>Subdirección de Servicios Administrativos - Grupo de Recursos Físicos - Secretaría General</t>
  </si>
  <si>
    <t>Oficina Asesora de Planeación - Grupo de Gestión de Recursos y Presupuesto</t>
  </si>
  <si>
    <t>Oficina Asesora de Planeación - Grupo de Seguimiento a Proyectos de Inversión</t>
  </si>
  <si>
    <t>Oficina Asesora de Planeación - Grupo de Seguimiento al Plan Nacional de Desarrollo</t>
  </si>
  <si>
    <t>Requerimientos atendidos</t>
  </si>
  <si>
    <t>Actualización SIG</t>
  </si>
  <si>
    <t>Coberturas otorgadas en el programa de cobertura condicionada para créditos de vivienda segunda generación.</t>
  </si>
  <si>
    <t xml:space="preserve">Asistencia técnica para la formulación e implementación de proyectos de vivienda urbana </t>
  </si>
  <si>
    <t xml:space="preserve">Estado de atención de Peticiones, Quejas, Reclamos y Sugerencias (PQRS) </t>
  </si>
  <si>
    <t xml:space="preserve">Tiempo de solución de requerimientos </t>
  </si>
  <si>
    <t>Tiempo promedio en le pago de las obligaciones del MVCT</t>
  </si>
  <si>
    <t>Proyectos Viabilizados</t>
  </si>
  <si>
    <t xml:space="preserve">Conceptos Aprobados </t>
  </si>
  <si>
    <t>Asistencias técnicas realizadas</t>
  </si>
  <si>
    <t xml:space="preserve">Tiempo promedio en la respuesta a los derechos de petición </t>
  </si>
  <si>
    <t>Noticias positivas publicadas</t>
  </si>
  <si>
    <t>Proceso</t>
  </si>
  <si>
    <t xml:space="preserve"> Tipo </t>
  </si>
  <si>
    <t>Sinergia</t>
  </si>
  <si>
    <t xml:space="preserve">Plan de Acción </t>
  </si>
  <si>
    <t>Municipios asistidos técnicamente  en procesos de mejoramiento integral de barrios.</t>
  </si>
  <si>
    <t>Gestión, Soporte y Apoyo Informático</t>
  </si>
  <si>
    <t>Gestión del subsidio</t>
  </si>
  <si>
    <t>Fortalecer los estándares de transparencia de la entidad mediante la implementación del Plan Anticorrupción y de Atención al Ciudadano (PAAC), así como procesos contractuales transparentes, que permitan  mejorar la participación y percepción de la ciudadanía.</t>
  </si>
  <si>
    <t>Asegurar que cada vez más colombianos tengan derecho a condiciones de habitabilidad dignas, a través de la implementación de políticas, normativa, planes, programas y proyectos en materia de vivienda, agua potable, saneamiento básico, desarrollo urbano y territorial, con el fin de contribuir en el mejoramiento de la calidad de vida y la disminución de la pobreza de la población.</t>
  </si>
  <si>
    <t>Brindar información, orientación y asistencia, por medio de actividades de promoción y acompañamiento, para la implementación de políticas, normativa, planes, programas y proyectos, en materia de vivienda, APSB, desarrollo urbano y territorial a los públicos de interés, de manera oportuna y pertinente.</t>
  </si>
  <si>
    <t>Dar a conocer a la ciudadanía, a las partes interesadas y a los servidores públicos, mediante canales y procedimientos efectivos, las políticas, programas, proyectos, planes y actuaciones del Ministerio, para lograr una divulgación de información suficiente y atención oportuna y pertinente.</t>
  </si>
  <si>
    <t>Formular la política pública de vivienda, agua potable, saneamiento básico y desarrollo urbano y territorial, así como los instrumentos normativos que la desarrollen, de acuerdo con las necesidades contempladas en el PND, los compromisos internacionales suscritos y la normatividad vigente, con el propósito de consolidar el sistema de ciudades, con patrones de uso eficiente y sostenible del suelo, para contribuir al mejoramiento de la calidad de vida de la población colombiana.</t>
  </si>
  <si>
    <t>Fortalecer la planeación presupuestal de la Entidad, bajo la metodología de presupuesto orientado a resultados, mediante la implementación de herramientas de programación, formulación y seguimiento de los proyectos de inversión, de tal forma que se pueda contar con los recursos necesarios,  mejorar la eficiencia en su manejo y facilitar la toma de decisiones.</t>
  </si>
  <si>
    <t>Mejorar los procesos y la tecnología que usa la Entidad, mediante proyectos de modernización y mantenimiento tecnológico y administrativo, de tal forma que se reduzcan los trámites y el consumo de papel, y se atienda oportunamente a funcionarios y públicos de interés.</t>
  </si>
  <si>
    <t xml:space="preserve">Grupo de Atención al Usuario Y archivo - Subdirección de Servicios Administrativos - Secretaría General </t>
  </si>
  <si>
    <t xml:space="preserve">Grupo de Control Interno Disciplinario - Secretaría General </t>
  </si>
  <si>
    <t>Despacho del Ministro</t>
  </si>
  <si>
    <t>Responsable 
Medición</t>
  </si>
  <si>
    <t xml:space="preserve">Grupo de Soporte Técnico y Apoyo Informático  - Subdirección de Servicios Administrativos - Secretaría General </t>
  </si>
  <si>
    <t>Subdirección de Servicios Administrativos</t>
  </si>
  <si>
    <t xml:space="preserve">Unidad de Medida </t>
  </si>
  <si>
    <t>Meta  Periodo
2018</t>
  </si>
  <si>
    <t>Consolidación de conceptos a proyectos de ley en primer debate que afectan las políticas del Ministerio</t>
  </si>
  <si>
    <t>-</t>
  </si>
  <si>
    <t>Actividades de saneamiento realizadas a bienes inmuebles del extinto ICT-INURBE</t>
  </si>
  <si>
    <t>Reportar que se ha hecho en el 2018 aunque le indicador no presente programación para la vigencia.</t>
  </si>
  <si>
    <t>Días</t>
  </si>
  <si>
    <t>Intervención del Archivo del archivo central ubicado en la Sede la Fragua del MVCT</t>
  </si>
  <si>
    <t xml:space="preserve">Metro Lineal </t>
  </si>
  <si>
    <t xml:space="preserve">Satisfacción del usuario en la atención personalizada </t>
  </si>
  <si>
    <t>Porcentaje de contratos suscritos que están precedidos de una adecuada planeación y programación que permita la publicación al secop dentro de los tiempos establecidos</t>
  </si>
  <si>
    <t>Realizar los mantenimientos preventivos y correctivos identificados</t>
  </si>
  <si>
    <t>Prestación de servicios requeridos para el desarrollo administrativo (Papelería, Credenciales, Servicios Públicos, Servicio Vigilancia y Seguridad, Servicio de Aseo y Cafetería, Servicio de comisiones, servicio de transporte)</t>
  </si>
  <si>
    <t>Diagnóstico de la infraestructura realizada</t>
  </si>
  <si>
    <t>Actividades de saneamiento realizadas a activos del extinto ICT-INURBE</t>
  </si>
  <si>
    <t xml:space="preserve">Seguimiento a la ejecución de proyectos de inversión
</t>
  </si>
  <si>
    <t>Gestionar e implementar las acciones y herramientas tendientes a mejorar la relación del ciudadano con el Ministerio</t>
  </si>
  <si>
    <t xml:space="preserve">	Atención al usuario y atención legislativa</t>
  </si>
  <si>
    <t xml:space="preserve">	Formulación de políticas e instrumentación normativa</t>
  </si>
  <si>
    <t xml:space="preserve">	Promoción y acompañamiento</t>
  </si>
  <si>
    <t xml:space="preserve">	Gestión de proyectos</t>
  </si>
  <si>
    <t xml:space="preserve">	Titulación y saneamiento predial</t>
  </si>
  <si>
    <t xml:space="preserve">	Gestión del subsidio</t>
  </si>
  <si>
    <t xml:space="preserve">	Seguimiento y control a la ejecución del recurso financiero</t>
  </si>
  <si>
    <t xml:space="preserve">	Gestión documental</t>
  </si>
  <si>
    <t xml:space="preserve">	Gestión de comunicaciones internas y externas</t>
  </si>
  <si>
    <t xml:space="preserve">	Procesos disciplinarios</t>
  </si>
  <si>
    <t xml:space="preserve">	Gestión de contratación</t>
  </si>
  <si>
    <t xml:space="preserve">	Gestión de recursos físicos</t>
  </si>
  <si>
    <t xml:space="preserve">	Gestión de proyectos de tecnologías de la información</t>
  </si>
  <si>
    <t xml:space="preserve">	Planeación estratégica y gestión de recursos financieros</t>
  </si>
  <si>
    <t xml:space="preserve">	Administración del Sistema Integrado de Gestión</t>
  </si>
  <si>
    <t xml:space="preserve">	Gestión del talento humano</t>
  </si>
  <si>
    <t xml:space="preserve">	Evaluación, acompañamiento y asesoría del Sistema de Control Interno</t>
  </si>
  <si>
    <t xml:space="preserve"> Saneamiento de activos de los extintos ICT INURBE</t>
  </si>
  <si>
    <t>Ejecución a Marzo de 2018</t>
  </si>
  <si>
    <t xml:space="preserve">Número de Eventos </t>
  </si>
  <si>
    <t>Porcentaje</t>
  </si>
  <si>
    <t>Número de Productos de Comunicación Interna</t>
  </si>
  <si>
    <t>Número de Productos de Comunicación Externa</t>
  </si>
  <si>
    <t>Número de Estudios</t>
  </si>
  <si>
    <t>Número de Títulos</t>
  </si>
  <si>
    <t>Número de Actividades</t>
  </si>
  <si>
    <t>Avance de ejecución  de las actividades de adecuación y mejoramiento</t>
  </si>
  <si>
    <t>Fecha Inicio
Día/Mes/Año</t>
  </si>
  <si>
    <t>Rezago</t>
  </si>
  <si>
    <t xml:space="preserve">
DEUT : 01-Junio  al 15 Dic
DSH: 01 Marzo al 31 Dic
</t>
  </si>
  <si>
    <t>DEUT: 01-Junio  al 15 Dic
DSH: 01 Marzo al 31 Dic</t>
  </si>
  <si>
    <t>Este indicador no reporta avance de ejecución, sin embargo en el plan de acción se estableció que las actividades en el marco de este indicador empezaban en el mes de febrero por lo tanto, deberían presentar ejecución.</t>
  </si>
  <si>
    <t xml:space="preserve">Las actividades de ejecución en el marco de este indicador comenzarán a reportarse en el mes de abril. </t>
  </si>
  <si>
    <t xml:space="preserve">Las actividades de ejecución en el marco de este indicador comenzarán a reportarse en el mes de mayo. </t>
  </si>
  <si>
    <t xml:space="preserve">Las actividades de ejecución en el marco de este indicador comenzarán a reportarse en el mes de junio. </t>
  </si>
  <si>
    <t xml:space="preserve">Las actividades de ejecución en el marco de este indicador comenzarán a reportarse en el mes de abril . </t>
  </si>
  <si>
    <t xml:space="preserve">Las actividades de ejecución en el marco de este indicador comenzarán a reportarse en el mes de julio . </t>
  </si>
  <si>
    <t xml:space="preserve">Las actividades de ejecución en el marco de este indicador comenzarán a reportarse en el mes de julio. </t>
  </si>
  <si>
    <t>Observaciones</t>
  </si>
  <si>
    <t>Indicador con rezago. El reporte de información corresponde a datos de la vigencia 2016. Por lo tanto no es posible calcular el porcentaje de ejecución del indicador correspondiente de la vigencia 2018.</t>
  </si>
  <si>
    <t>Indicador con rezago. El reporte de información corresponde a datos de la vigencia 2017. Por lo tanto no es posible calcular el porcentaje de ejecución del indicador correspondiente de la vigencia 2018.</t>
  </si>
  <si>
    <t>Indicador con rezago. El reporte de información corresponde a datos de la vigencia 2015. Por lo tanto no es posible calcular el porcentaje de ejecución del indicador correspondiente de la vigencia 2018.</t>
  </si>
  <si>
    <t>Conceptos Jurídicos s</t>
  </si>
  <si>
    <t>Procesos Judiciales y Acciones Constitucionales</t>
  </si>
  <si>
    <t>Representación legal del Ministerio de vivienda,Ciudad y Territorio y el Fondo Nacional de Vivienda</t>
  </si>
  <si>
    <t>Porcentaje de solicitudes atendidas Por la Oficina Asesora Jurídica</t>
  </si>
  <si>
    <t xml:space="preserve">Periodicidad </t>
  </si>
  <si>
    <t>Porcentaje de Ejecución Acumulada</t>
  </si>
  <si>
    <t>Ejecución a Enero de 2018</t>
  </si>
  <si>
    <t xml:space="preserve">Análisis cualitativo del Indicador </t>
  </si>
  <si>
    <t>Ejecución a Febrero de 2018</t>
  </si>
  <si>
    <t>Ejecución a Abril de 2018</t>
  </si>
  <si>
    <t xml:space="preserve">Mensual </t>
  </si>
  <si>
    <t>Acercamiento del Ministro con la comunidad para hacer seguimiento a los proyectos de vivienda, agua potable y saneamiento básico ejecutados, en ejecución y por ejecutar en el territorio nacional</t>
  </si>
  <si>
    <t xml:space="preserve">      El indicador "Acercamiento del Ministro con la comunidad para hacer seguimiento a los proyectos de vivienda, agua potable y saneamiento básico ejecutados, en ejecución y por ejecutar en el territorio nacional" arroja un resultado de 4 eventos con la comunidad en el mes de enero, lo cual indica un comportamiento positivo acorde con los 50 eventos programados para la vigencia.</t>
  </si>
  <si>
    <t xml:space="preserve">      El indicador "Acercamiento del Ministro con la comunidad para hacer seguimiento a los proyectos de vivienda, agua potable y saneamiento básico ejecutados, en ejecución y por ejecutar en el territorio nacional" arroja un resultado de 9 eventos con la comunidad en el mes de febrero, para un total acumulado de 13 eventos en el año,lo cual indica un comportamiento positivo acorde con los 50 eventos programados para la vigencia.</t>
  </si>
  <si>
    <t xml:space="preserve">      El indicador "Acercamiento del Ministro con la comunidad para hacer seguimiento a los proyectos de vivienda, agua potable y saneamiento básico ejecutados, en ejecución y por ejecutar en el territorio nacional" arroja un resultado de 5 eventos con la comunidad en el mes de marzo, para un total acumulado de 18 eventos en el año,lo cual indica un comportamiento positivo acorde con los 50 eventos programados para la vigencia.</t>
  </si>
  <si>
    <t xml:space="preserve">      El indicador "Acercamiento del Ministro con la comunidad para hacer seguimiento a los proyectos de vivienda, agua potable y saneamiento básico ejecutados, en ejecución y por ejecutar en el territorio nacional" arroja un resultado de 6 eventos con la comunidad en el mes de abril, para un total acumulado de 24 eventos en el año,lo cual indica un comportamiento positivo acorde con los 50 eventos programados para la vigencia.</t>
  </si>
  <si>
    <t xml:space="preserve">      El indicador "Acercamiento del Ministro con la comunidad para hacer seguimiento a los proyectos de vivienda, agua potable y saneamiento básico ejecutados, en ejecución y por ejecutar en el territorio nacional" arroja un resultado de 6 eventos con la comunidad en el mes de mayo, para un total acumulado de 30 eventos en el año,lo cual indica un comportamiento positivo acorde con los 50 eventos programados para la vigencia.</t>
  </si>
  <si>
    <t>Semestral</t>
  </si>
  <si>
    <t xml:space="preserve">
   El indicador "Consolidación de conceptos a proyectos de ley en primer debate que afectan las políticas del Ministerio" arroja un resultado de 92,59% hasta el mes de enero, debido a que se tuvieron 54 iniciativas en primer debate, las cuales tocan materias de este Ministerio, razón por la cual se ha iniciado una labor de seguimiento que busca la elaboración de los conceptos a ser tenidos en cuenta por los honorables Congresistas dentro del debate de los mismos. Así las cosas, se han aportado, por diferentes medios, los insumos pertinentes para forjar una postura institucional en busca de ajustar dichos proyectos a las políticas que esta Cartera encabeza en 50 de los 54 proyectos referidos en su primer debate, en su mayoría acogidos por el honorable Congreso de la República; es decir, que se conceptuó el 92.59% de las iniciativas en primer debate, lo cual lo ubica en el rango de gestión de cumplimiento de la meta sobresaliente, que indica que tiene una tendencia positiva.</t>
  </si>
  <si>
    <t>Ejecución a Mayo de 2018</t>
  </si>
  <si>
    <t xml:space="preserve">      El indicador "Porcentaje de solicitudes atendidas Por la Oficina Asesora Jurídica" durante el mes de enero de 2018 reporta que se atendieron oportunamente 35 consultas y reclamaciones interpuestas que correponden a la totalidad recibida. Por lo tanto la meta reporta un avance del 100%. Lo anterior ubica en el rango de gestión de cumplimiento de la meta  en sobresaliente, que indica que tiene una tendencia positiva.</t>
  </si>
  <si>
    <t xml:space="preserve">      El indicador "Porcentaje de solicitudes atendidas Por la Oficina Asesora Jurídica" durante el mes de febrero de 2018 reporta que se atendieron oportunamente 53 consultas y reclamaciones interpuestas que correponden a la totalidad recibida, para un acumulado en la vigencia de 88 consultas y reclamaciones atendidas oportunamente. Por tanto la meta reporta un avance del 100%. Lo anterior ubica en el rango de gestión de cumplimiento de la meta  en sobresaliente, que indica que tiene una tendencia positiva.</t>
  </si>
  <si>
    <t xml:space="preserve">      El indicador "Porcentaje de solicitudes atendidas Por la Oficina Asesora Jurídica" durante el mes de marzo de 2018 reporta que se atendieron oportunamente 41 consultas y reclamaciones interpuestas que correponden a la totalidad recibida, para un acumulado en la vigencia de 129 consultas y reclamaciones atendidas oportunamente. Por tanto la meta reporta un avance del 100%. Lo anterior ubica en el rango de gestión de cumplimiento de la meta  en sobresaliente, que indica que tiene una tendencia positiva.</t>
  </si>
  <si>
    <t xml:space="preserve">      El indicador "Porcentaje de solicitudes atendidas Por la Oficina Asesora Jurídica" durante el mes de abril de 2018 reporta que se atendieron oportunamente 86 consultas y reclamaciones interpuestas que correponden a la totalidad recibida, para un acumulado en la vigencia de 215 consultas y reclamaciones atendidas oportunamente. Por tanto la meta reporta un avance del 100%. Lo anterior ubica en el rango de gestión de cumplimiento de la meta  en sobresaliente, que indica que tiene una tendencia positiva.</t>
  </si>
  <si>
    <t xml:space="preserve">      El indicador "Cumplimiento de las actividades del Programa anual de auditoría" durante el mes de enero de 2018 reporta una ejecución del 100% debido a que se realizaron 33 actividades del Programa Anual de Auditoría de las 33 programadas en este periodo.
En términos acumulados para la vigencia el porcentaje de ejecución es del 10,58% debido a que se han realizado 33 actividades de las 312 programadas para el año en el Programa anual de auditoría. Lo anterior ubica el rango de gestión de cumplimiento de la meta  en sobresaliente, que indica que tiene una tendencia positiva.</t>
  </si>
  <si>
    <t xml:space="preserve">      El indicador "Cumplimiento de las actividades del Programa anual de auditoría" durante el mes de febrero de 2018 reporta una ejecución del 100% debido a que se realizaron 36 actividades del Programa Anual de Auditoría de las 36 programadas en este periodo.
En términos acumulados para la vigencia el porcentaje de ejecución es del 22,12% debido a que se han realizado 69 actividades de las 312 programadas para el año en el Programa anual de auditoría. Lo anterior ubica el rango de gestión de cumplimiento de la meta  en sobresaliente, que indica que tiene una tendencia positiva.</t>
  </si>
  <si>
    <t xml:space="preserve">      El indicador "Cumplimiento de las actividades del Programa anual de auditoría" durante el mes de marzo de 2018 reporta una ejecución del 100% debido a que se realizaron 18 actividades del Programa Anual de Auditoría de las 18 programadas en este periodo.
En términos acumulados para la vigencia el porcentaje de ejecución es del 27,88% debido a que se han realizado 87 actividades de las 312 programadas para el año en el Programa anual de auditoría. Lo anterior ubica el rango de gestión de cumplimiento de la meta  en sobresaliente, que indica que tiene una tendencia positiva.</t>
  </si>
  <si>
    <t xml:space="preserve">      El indicador "Cumplimiento de las actividades del Programa anual de auditoría" durante el mes de abril de 2018 reporta una ejecución del 100% debido a que se realizaron 38 actividades del Programa Anual de Auditoría de las 38 programadas en este periodo.
En términos acumulados para la vigencia el porcentaje de ejecución es del 40,06% debido a que se han realizado 125 actividades de las 312 programadas para el año en el Programa anual de auditoría. Lo anterior ubica el rango de gestión de cumplimiento de la meta  en sobresaliente, que indica que tiene una tendencia positiva.</t>
  </si>
  <si>
    <t xml:space="preserve">      El indicador "Cumplimiento de las actividades del Programa anual de auditoría" durante el mes de mayo de 2018 reporta una ejecución del 100% debido a que se realizaron 34 actividades del Programa Anual de Auditoría de las 34 programadas en este periodo.
En términos acumulados para la vigencia el porcentaje de ejecución es del 50,96% debido a que se han realizado 159 actividades de las 312 programadas para el año en el Programa anual de auditoría. Lo anterior ubica el rango de gestión de cumplimiento de la meta  en sobresaliente, que indica que tiene una tendencia positiva.</t>
  </si>
  <si>
    <t xml:space="preserve">Anual </t>
  </si>
  <si>
    <t>Número</t>
  </si>
  <si>
    <t>El indicador "Elaboración y publicación del anteproyecto anual de presupuesto"  se cumplió en un 100% en el mes de marzo.</t>
  </si>
  <si>
    <t>El indicador "Elaboración y publicación del anteproyecto anual de presupuesto"  arroja un resultado del 100% porque se cumplió con la meta establecida, de elaborar y publicar 1 anteproyecto anual de presupuesto  lo cual indica un comportamiento positivo.
La oficina Asesora de Planeación analizó, revisó y consolidó el documento de justificación de anteproyecto de presupuesto para la vigencia del 2019. Este documento junto con los formatos establecidos por el Ministerio de Hacienda y Crédito Público se diligenció y se envió por correo electrónico el 28 de marzo de 2018, cumpliendo de esta manera con las fechas de ley. Este indicador presenta un cumplimiento del 100% con corte a marzo 31 de 2018.</t>
  </si>
  <si>
    <t>El indicador "Seguimiento a la ejecución de proyectos de inversión" con corte a abril de 2018 presenta un avance total de 1 informe trimestral de seguimiento realizado. Lo anterior indica un comportamiento positivo para este indicador ya que va desarrollándose de acuerdo a lo programado para la vigencia.
El 23 de abril se remitió un correo a las áreas con el primer informe trimestral con corte al 31 de marzo de 2018, en el cual se puede evidenciar el avance financiero, físico y de gestión de los proyectos de inversión del sector.</t>
  </si>
  <si>
    <t xml:space="preserve">El indicador "Seguimiento a la ejecución de proyectos de inversión"  se ejecuta a través de informes de seguimiento  que se realizan de manera trimestral, por lo cual el primer reporte se realizaría en el mes de abril.
</t>
  </si>
  <si>
    <t>El indicador "Seguimiento a la ejecución de proyectos de inversión"  se ejecuta a través de informes de seguimiento  que se realizan de manera trimestral, por lo cual el primer reporte se realizaría en el mes de abril.</t>
  </si>
  <si>
    <t xml:space="preserve">El indicador "Seguimiento a la ejecución de proyectos de inversión"  se ejecuta a través de informes de seguimiento  que se realizan de manera trimestral, por lo cual el próximo reporte se realizaría en el mes de julio.
</t>
  </si>
  <si>
    <t>Trimestral</t>
  </si>
  <si>
    <t xml:space="preserve">Cuatrimestral </t>
  </si>
  <si>
    <t xml:space="preserve">El indicador "Modelos de gestión integrados" durante el mes de enero no presentó avances cuantitativos. </t>
  </si>
  <si>
    <t xml:space="preserve">El indicador "Modelos de gestión integrados" durante el mes de febrero no presentó avances cuantitativos, sin embargo se llevó a cabo la identificación de brechas para ISO 9001:2015. </t>
  </si>
  <si>
    <t>El indicador "Modelos de gestión integrados" durante el mes de marzo no presentó avances cuantitativos, sin embargo se llevó a cabo la identificación de brechas para ISO 9001:2015 y se realizó el plan de trabajo para atender cada una de las brechas.</t>
  </si>
  <si>
    <t>El indicador "Modelos de gestión integrados" durante el mes de abril no presentó avances cuantitativos, sin embargo se desarrollaron las actividades definidas en el plan de trabajo para atender cada una de las brechas de ISO 9001:2015.</t>
  </si>
  <si>
    <t>El indicador "Modelos de gestión integrados" durante el mes de mayo no presentó avances cuantitativos, sin embargo se continúo con la ejecución de las actividades definidas para actualizar el Sistema Integrado de Gestión (SIG) al modelo de gestión de calidad ISO 9001:2015. Las actividades que se desarrollaron fueron: 
1) Se Socializó el formato de caracterizaciones a facilitadores de proceso el 08 de mayo de 2018. 
2) El 25 de mayo de 2018 se realizó mesa de trabajo donde se definió que Diseño y desarrollo  aplica para formulación de políticas e instrumentación normativa, en gestión del subsidio la misión de la entidad no es hacer sistemas de información y Gesdoc es subcontratado. 
3) Se  revisó el plan de mejoramiento del proceso de Administración del SIG  y se realizó el respectivo seguimiento al desarrollo de las actividades en el planteadas.</t>
  </si>
  <si>
    <t>El indicador "Gestionar e implementar las acciones y herramientas tendientes a mejorar la relación del ciudadano con el Ministerio" arroja un resultado en el mes de abril de 57 actividades ejecutadas del PAAC de las 112 programadas para el año.
El avance del 50,89% obedece a: 
• Cumplimiento del 87,5 % de las acciones de finidas en el componente de gestión del riesgo, incluyendo que no se materializó ninguno de los 23 riesgos de corrupción identificados,  quedando pendiente solo el 2 acciones de monitoreo y seguimiento  a los riesgos de corrupción.
• Racionalización del trámite previsto para la vigencia 2018
• Avance en el 37, 04% de acciones de información, diálogo e incentivos de la Estrategia de Rendición de Cuentas y Participación Ciudadana que son de carácter permanente, las otras acciones dependen de   la ejecución de la Audiencia Pública de Rendición de Cuentas, para la cual aún no se tiene fecha definida.
• Avance en el 29,41% de acciones del componente de servicio al ciudadano que son de carácter permanente, las otras acciones están previstas para el segundo semestre.
• Avance en el 30.77% de acciones del componente de Transparencia que son de carácter permanente, las otras acciones están previstas para el segundo semestre.
• Avance en el 33.33% de acciones del componente de Acciones adicionales, las otras acciones están previstas para el segundo semestre.
El comportamiento de este indicador lo ubica en el rango de gestión de cumplimiento de la meta con una tendencia positiva, teniendo en cuenta que se va desarrollando acorde a lo programado.</t>
  </si>
  <si>
    <t>Indicador "Porcentaje de avance componente GEL - Seguridad y privacidad en la Información". El reporte de este indicador se hace anualmente con un rezago de 180 días y tiene como fuente de información los resultados del Formulario Único de Reporte de Avances de la Gestión -FURAG.  
Por lo anterior, el último reporte oficial establece para la vigencia 2016 un avance del 67%; dado que el último reporte del FURAG correspondiente a la vigencia  2017 no presentó resultados desagregados por cada uno de los componentes del GEL (Hoy denominado Gobierno Digital) por lo cual no es posible establecer un avance para cada uno de ellos en la vigencia 2018.
Actualmente se esperan los nuevos lineamientos para la medición de la política de Gobierno Digital.</t>
  </si>
  <si>
    <t xml:space="preserve">Indicador "Porcentaje de avance componente GEL - TIC para Servicios". El reporte de este indicador se hace anualmente con un rezago de 180 días y tiene como fuente de información los resultados del Formulario Único de Reporte de Avances de la Gestión -FURAG.  
Por lo anterior, el último reporte oficial establece para la vigencia 2016 un avance del 54%; dado que el último reporte del FURAG correspondiente a la vigencia  2017 no presentó resultados desagregados por cada uno de los componentes del GEL (Hoy denominado Gobierno Digital) por lo cual no es posible establecer un avance para cada uno de ellos en la vigencia 2018.
Actualmente se esperan los nuevos lineamientos para la medición de la política de Gobierno Digital. </t>
  </si>
  <si>
    <t>El indicador "Porcentaje de avance componente GEL - TIC para Gobierno Abierto". El reporte de este indicador se hace anualmente con un rezago de 180 días y tiene como fuente de información los resultados del Formulario Único de Reporte de Avances de la Gestión -FURAG.  
Por lo anterior, el último reporte oficial establece para la vigencia 2016 un avance del 64,40%; dado que el último reporte del FURAG correspondiente a la vigencia  2017 no presentó resultados desagregados por cada uno de los componentes del GEL (Hoy denominado Gobierno Digital) por lo cual no es posible establecer un avance para cada uno de ellos en la vigencia 2018.
Actualmente se esperan los nuevos lineamientos para la medición de la política de Gobierno Digital.</t>
  </si>
  <si>
    <t xml:space="preserve">El indicador "Porcentaje de avance componente GEL - TIC para la Gestión". El reporte de este indicador se hace anualmente con un rezago de 180 días y tiene como fuente de información los resultados del Formulario Único de Reporte de Avances de la Gestión -FURAG.  
Por lo anterior, el último reporte oficial establece para la vigencia 2016 un avance del 57%; dado que el último reporte del FURAG correspondiente a la vigencia  2017 no presentó resultados desagregados por cada uno de los componentes del GEL (Hoy denominado Gobierno Digital) por lo cual no es posible establecer un avance para cada uno de ellos en la vigencia 2018.
Actualmente se esperan los nuevos lineamientos para la medición de la política de Gobierno Digital. </t>
  </si>
  <si>
    <t>El indicador "Requerimientos atendidos" durante el mes de enero de 2018 presenta una ejecución del 93,59%  debido a que en este periodo se cerraron 628 casos de los 671 que se abrieron en el mes; lo cual lo ubica en el rango de gestión de cumplimiento de la meta en sobresaliente, que indica que tiene una tendencia positiva.</t>
  </si>
  <si>
    <t>El indicador "Requerimientos atendidos" durante el mes de febrero de 2018 presenta una ejecución del 91,71%  debido a que en este periodo se cerraron 1.151 casos de los 1.255 que se abrieron en el mes.
En términos acumulados este indicador reporta una ejecución del 92,37% debido a que en este periodo se cerraron 1.779 casos de los 1.926 que se abrieron en lo corrido de la vigencia; lo cual lo ubica en el rango de gestión de cumplimiento de la meta en sobresaliente, que indica que tiene una tendencia positiva.</t>
  </si>
  <si>
    <t>El indicador "Requerimientos atendidos" durante el mes de marzo de 2018 presenta una ejecución del 87,43%  debido a que en este periodo se cerraron 758 casos de los 867 que se abrieron en el mes.
En términos acumulados este indicador reporta una ejecución del 90,83% debido a que en este periodo se cerraron 2.537 casos de los 2.793 que se abrieron en lo corrido de la vigencia; lo cual lo ubica en el rango de gestión de cumplimiento de la meta en sobresaliente, que indica que tiene una tendencia positiva.</t>
  </si>
  <si>
    <t>El indicador "Requerimientos atendidos" durante el mes de abril de 2018 presenta una ejecución del 90,80%  debido a que en este periodo se cerraron 592 casos de los 652 que se abrieron en el mes.
En términos acumulados este indicador reporta una ejecución del 90,83% debido a que en este periodo se cerraron 3.129 casos de los 3.445 que se abrieron en lo corrido de la vigencia; lo cual lo ubica en el rango de gestión de cumplimiento de la meta en sobresaliente, que indica que tiene una tendencia positiva.</t>
  </si>
  <si>
    <t>El indicador "Requerimientos atendidos" durante el mes de mayo de 2018 presenta una ejecución del 92,45%  debido a que en este periodo se cerraron 551 casos de los 596 que se abrieron en el mes.
En términos acumulados este indicador reporta una ejecución del 91,07% debido a que en este periodo se cerraron 3.680 casos de los 4.041 que se abrieron en lo corrido de la vigencia; lo cual lo ubica en el rango de gestión de cumplimiento de la meta en sobresaliente, que indica que tiene una tendencia positiva.</t>
  </si>
  <si>
    <t xml:space="preserve">El indicador "Atención a solicitudes de actuaciones disciplinarias" durante el mes de enero de 2018 reporta que se recibieron 8  Informes y/o quejas alusivas a presuntas faltas disciplinarias al interior del MVCT y Fonvivienda, las cuales fueron atendidas. Lo anterior, ubica en el rango de gestión de cumplimiento de la meta en sobresaliente, que indica que tiene una tendencia positiva.
Los 8 informes alusivos a hechos relacionados con una presunta incidencia disciplinaria al interior del MVCT, se relacionan a continuación:
- Presunta omisión de entrega de inventario.     1.
- presuntas irregularidades en la cancelación de matrícula inmobiliaria.  1.  
- Presunta afectación a derecho de petición         2.   
- Presunto desacato frente a acción de tutela     3.
- Presunto incumplimiento a jornada laboral     1.    </t>
  </si>
  <si>
    <t>El indicador "Atención a solicitudes de actuaciones disciplinarias" durante el mes de febrero de 2018 reporta que se recibieron 19  Informes y/o quejas alusivas a presuntas faltas disciplinarias al interior del MVCT y Fonvivienda, las cuales fueron atendidas. En la vigencia se tienen un total acumulado de 27 Informes y/o quejas atendidas cumpliendo en un 100% la meta fijada. Lo anterior, ubica en el rango de gestión de cumplimiento de la meta en sobresaliente, que indica que tiene una tendencia positiva.
Las 19 quejas o informes alusivos a hechos relacionados con una presunta incidencia disciplinaria al interior del MVCT, se relacionan a continuación:
- Informes Procuraduría Primera Distrital.      2.
- Informe Secretaría General.        1.  
- Informes Unidad para la atención y reparación integral a las víctimas- control interno disciplinario.             2.   
- Hallazgos Contraloría General de la República Viceministerio de Agua Vigencia 2016                   12.
- Informe Grupo Servicios Administrativos      2.</t>
  </si>
  <si>
    <t>El indicador "Atención a solicitudes de actuaciones disciplinarias" durante el mes de marzo de 2018 reporta que se recibieron 5 Informes y/o quejas alusivas a presuntas faltas disciplinarias al interior del MVCT y Fonvivienda, las cuales fueron atendidas. En la vigencia se tienen un total acumulado de 32 Informes y/o quejas atendidas cumpliendo en un 100% la meta fijada. Lo anterior, ubica en el rango de gestión de cumplimiento de la meta en sobresaliente, que indica que tiene una tendencia positiva.
Las 5 quejas o informes alusivos a hechos relacionados con una presunta incidencia disciplinaria al interior del MVCT, se relacionan a continuación:
- Inicio de actuación de oficio “presuntas irregularidades en la seguridad informática a razón de virus SPAM presentado entre octubre 2017 y febrero 2018”.           1.
- Informe Personería de Bogotá.       1.  
- Informes Subdirector de Servicios Administrativos.    1.   
- Informe Grupo de Acciones Constitucionales              1.
     - Informe Procuraduría General de la Nación     1.</t>
  </si>
  <si>
    <t>El indicador "Atención a solicitudes de actuaciones disciplinarias" durante el mes de abril de 2018 reporta que se recibieron 7 Informes y/o quejas alusivas a presuntas faltas disciplinarias al interior del MVCT y Fonvivienda, las cuales fueron atendidas. En la vigencia se tienen un total acumulado de 39 Informes y/o quejas atendidas cumpliendo en un 100% la meta fijada. Lo anterior, ubica en el rango de gestión de cumplimiento de la meta en sobresaliente, que indica que tiene una tendencia positiva.
Las 7 quejas o informes alusivos a hechos relacionados con una presunta incidencia disciplinaria al interior del MVCT, se relacionan a continuación:
- Informes Procuraduría Primera Distrital.      4.  
- Copias Compulsadas CGCID        1.   
- Informe Grupo Talento Humano                1.
 - Informe Unidad para la Atención y Reparación Integral de las victimas  1.</t>
  </si>
  <si>
    <t>El indicador "Atención a solicitudes de actuaciones disciplinarias" durante el mes de mayo de 2018 reporta que se recibieron 6 Informes y/o quejas alusivas a presuntas faltas disciplinarias al interior del MVCT y Fonvivienda, las cuales fueron atendidas. En la vigencia se tienen un total acumulado de 45 Informes y/o quejas atendidas cumpliendo en un 100% la meta fijada. Lo anterior, ubica en el rango de gestión de cumplimiento de la meta en sobresaliente, que indica que tiene una tendencia positiva.
Las 6 quejas o informes alusivos a hechos relacionados con una presunta incidencia disciplinaria al interior del MVCT, se relacionan a continuación:
- Informes Procuraduria Primera   2
- Informe Grupo Contratos   1
-Informe Talento Humano    1
-Informe sudireccion de politicas de desarrollo urbano y teriitorial   1
-Queja varios subdireccion del subsidio familiar de vivienda  1</t>
  </si>
  <si>
    <t>El indicador "Cumplimiento cronograma actividades de sensibilización" durante el mes de marzo de 2018 reporta que se realizó una actividad de sensibilización, para un total acumulado de 1 actividad de sensibilización en la vigencia, la cual se ejecutó mediante la realización del primer CONCURSO EN CONOCIMIENTOS EN DERECHO DISCIPLINARIO – 2018 “¿QUIÉN QUIERE SER DISCIPLINADO?” el día 23 de marzo, con las siguientes áreas participantes:
1.        Despacho del ministro de vivienda, ciudad y territorio
2.        Oficina de tecnologías de la información y las comunicaciones
3.        Grupo de comunicaciones estratégicas
4.        Oficina asesora jurídica
5.        Grupo de conceptos
6.        Grupo de acciones constitucionales
7.        Grupo de seguimiento y control
8.        Grupo de procesos judiciales
9.        Oficina asesora de planeación
10.      Grupo de gestión de recursos y presupuesto
11.      Grupo de seguimiento al Plan Nacional de Desarrollo
Lo anterior, ubica en el rango de gestión de cumplimiento de la meta en sobresaliente, que indica que tiene una tendencia positiva.</t>
  </si>
  <si>
    <t>El indicador "CDP´s y RP´s Expedidos" durante el periodo comprendido entre el 1 y el 30 de enero de 2018, registra en los sistemas de información un total de 774 CDP´S y 645 RP´S, para un total de 1.419, cumpliendo con la totalidad de la expedición de los Certificados de Disponibilidad Presupuestal y Registros Presupuestales correctamente solicitados. 
Lo anterior ubica en el rango de gestión de cumplimiento de la meta  en sobresaliente, que indica que tiene una tendencia positiva.</t>
  </si>
  <si>
    <t>El indicador "CDP´s y RP´s Expedidos" durante el periodo comprendido entre el 1 y el 30 de febrero de 2018, registra en los sistemas de información un total de 82 CDP´S y 232 RP´S, para un total de 314, cumpliendo con la totalidad de la expedición de los Certificados de Disponibilidad Presupuestal y Registros Presupuestales correctamente solicitados. Por otro lado, el acumulado en la vigencia es de 1.733 Certificados de Disponibilidad Presupuestal y Registros Presupuestales correctamente solicitados. Por tanto la meta reporta un avance del 100%. Lo anterior ubica en el rango de gestión de cumplimiento de la meta  en sobresaliente, que indica que tiene una tendencia positiva.</t>
  </si>
  <si>
    <t>El indicador "CDP´s y RP´s Expedidos" durante el periodo comprendido entre el 1 y el 30 de abril de 2018, registra en los sistemas de información un total de 84 CDP´S y 223 RP´S, para un total de 307, cumpliendo con la totalidad de la expedición de los Certificados de Disponibilidad Presupuestal y Registros Presupuestales correctamente solicitados. Por otro lado, el acumulado en la vigencia es de 2.487 Certificados de Disponibilidad Presupuestal y Registros Presupuestales correctamente solicitados. Por tanto la meta reporta un avance del 100%. Lo anterior ubica en el rango de gestión de cumplimiento de la meta  en sobresaliente, que indica que tiene una tendencia positiva.</t>
  </si>
  <si>
    <t xml:space="preserve">El indicador "CDP´s y RP´s Expedidos" durante el periodo comprendido entre el 1 y el 30 de marzo de 2018, registra en los sistemas de información un total de 150 CDP´S y 297 RP´S, para un total de 447, cumpliendo con la totalidad de la expedición de los Certificados de Disponibilidad Presupuestal y Registros Presupuestales correctamente solicitados. Por otro lado, el acumulado en la vigencia es de 2.180 Certificados de Disponibilidad Presupuestal y Registros Presupuestales correctamente solicitados. Por tanto la meta reporta un avance del 100%. Lo anterior ubica en el rango de gestión de cumplimiento de la meta  en sobresaliente, que indica que tiene una tendencia positiva.
Durante el primer trimestre de la vigencia 2018, se registraron en los sistemas de información un total de 1.006  Certificados de Disponibilidad Presupuestal - CDP´S,  de los cuales 937 (93.1%) corresponden al MVCT y 69 (6.9%) a FONVIVIENDA;  por su parte se registraron 1.174 Registros Presupuestales - RP´S, distribuidos de la siguiente manera: MVCT  1.123  (95,7%) RP y FONVIVIENDA 51  (4,3%) RP.
</t>
  </si>
  <si>
    <t>El indicador "Informes de Estados Financieros" durante el mes de enero no presentó avance, pero el comportamiento del indicador se desarrolla de acuerdo a lo programado.</t>
  </si>
  <si>
    <t>El indicador "Informes de Estados Financieros" durante el mes de febrero de 2018 presentó un (1) informe de estados financieros a la Contaduría General de la Nación, tanto del Ministerio como de FONVIVIENDA, alcanzando un 25% en la meta para la vigencia, para un total acumulado de 1 informe de estados financieros presentado. Lo anterior, ubica en el rango de gestión de cumplimiento de la meta en sobresaliente, que indica que tiene una tendencia positiva.</t>
  </si>
  <si>
    <t>El indicador "Informes de Estados Financieros" durante el primer trimestre de la vigencia 2018, la Subdirección de Finanzas y Presupuesto, Grupo de Contabilidad realizó la trasmisión de los estados financieros con corte a 31 de Diciembre de 2017, a la Contaduría General de la Nación, conforme al calendario establecido.
El avance de cumplimiento de este indicador es del 25%, toda vez que se presentó un informe de estados financieros, de los cuatro (4) programados para la vigencia 2018.
Lo anterior, ubica en el rango de gestión de cumplimiento de la meta en sobresaliente, que indica que tiene una tendencia positiva.</t>
  </si>
  <si>
    <t>El indicador "Informes de Estados Financieros" durante el mes de abril no presentó avance, pero el comportamiento del indicador se desarrolla de acuerdo a lo programado.</t>
  </si>
  <si>
    <t>El indicador "Informes de Estados Financieros" durante el mes de mayo no presentó avance, pero el comportamiento del indicador se desarrolla de acuerdo a lo programado.</t>
  </si>
  <si>
    <t>El indicador "CDP´s y RP´s Expedidos" durante el periodo comprendido entre el 1 y el 30 de mayo de 2018, registra en los sistemas de información un total de 57 CDP´S y 155 RP´S, para un total de 212, cumpliendo con la totalidad de la expedición de los Certificados de Disponibilidad Presupuestal y Registros Presupuestales correctamente solicitados. Por otro lado, el acumulado en la vigencia es de 2.699 Certificados de Disponibilidad Presupuestal y Registros Presupuestales correctamente solicitados. Por tanto la meta reporta un avance del 100%. Lo anterior ubica en el rango de gestión de cumplimiento de la meta  en sobresaliente, que indica que tiene una tendencia positiva.</t>
  </si>
  <si>
    <t>El indicador "Porcentaje de PAC Ejecutado" arroja una ejecución del 67,12% para el mes de enero debido a que el PAC ejecutado para este periodo fue de $ 1.986.074.129  y el PAC solicitado fué de $2.959.184.178,11.
El comportamiento de este indicador lo ubica en el rango de gestión de cumplimiento de la meta con una tendencia positiva, teniendo en cuenta que las ejecuciones del PAC a la fecha están acordes a lo programado.</t>
  </si>
  <si>
    <t>El indicador "Tiempo promedio en le pago de las obligaciones del MVCT" durante el mes de enero de 2018 cumplió a cabalidad con el pago establecido para cada una de las obligaciones  generando un promedio de 4,40 días. Lo anterior ubica el rango de gestión de cumplimiento de la meta en sobresaliente, que indica que tiene una tendencia positiva ya que la meta establecida es de 8 días promedio.</t>
  </si>
  <si>
    <t xml:space="preserve">El indicador "Tiempo promedio en le pago de las obligaciones del MVCT" durante el mes de febrero de 2018 cumplió a cabalidad con el pago establecido para cada una de las obligaciones  generando un promedio de 1,99 días, para un total acumulado en el tiempo promedio de pago de las obligaciones del ministerio de 3,48 días. Lo anterior ubica el rango de gestión de cumplimiento de la meta en sobresaliente, que indica que tiene una tendencia positiva ya que la meta establecida es de 8 días promedio. </t>
  </si>
  <si>
    <t>El indicador "Tiempo promedio en le pago de las obligaciones del MVCT" durante el mes de marzo de 2018 cumplió a cabalidad con el pago establecido para cada una de las obligaciones  generando un promedio de 3,42 días, para un total acumulado en el tiempo promedio de pago de las obligaciones del ministerio de 3,46 días. Lo anterior ubica el rango de gestión de cumplimiento de la meta en sobresaliente, que indica que tiene una tendencia positiva ya que la meta establecida es de 8 días promedio.</t>
  </si>
  <si>
    <t>El indicador "Tiempo promedio en le pago de las obligaciones del MVCT" durante el mes de abril de 2018 cumplió a cabalidad con el pago establecido para cada una de las obligaciones  generando un promedio de 3,61 días, para un total acumulado en el tiempo promedio de pago de las obligaciones del ministerio de 3,50 días. Lo anterior ubica el rango de gestión de cumplimiento de la meta en sobresaliente, que indica que tiene una tendencia positiva ya que la meta establecida es de 8 días promedio.</t>
  </si>
  <si>
    <t>El indicador "Tiempo promedio en le pago de las obligaciones del MVCT" durante el mes de mayo de 2018 cumplió a cabalidad con el pago establecido para cada una de las obligaciones  generando un promedio de 4,18 días, para un total acumulado en el tiempo promedio de pago de las obligaciones del ministerio de 3,65 días. Lo anterior ubica el rango de gestión de cumplimiento de la meta en sobresaliente, que indica que tiene una tendencia positiva ya que la meta establecida es de 8 días promedio.</t>
  </si>
  <si>
    <t xml:space="preserve">      El indicador "Porcentaje de contratos suscritos que están precedidos de una adecuada planeación y programación que permita la publicación al secop dentro de los tiempos establecido" durante el mes de enero de 2018 presentó una ejecución del 100%, debido a que en este periodo se publicó en SECOP en los tiempos establecidos la totaliadad de los procesos del MVCT que corresponde para este mes a  480 procesos.
Lo anterior ubica el rango de gestión de cumplimiento de la meta en sobresaliente, que indica que tiene una tendencia positiva.</t>
  </si>
  <si>
    <t xml:space="preserve">      El indicador "Porcentaje de contratos suscritos que están precedidos de una adecuada planeación y programación que permita la publicación al secop dentro de los tiempos establecido" durante el mes de mayo de 2018 presentó una ejecución del 100%, debido a que en este periodo se publicó en SECOP en los tiempos establecidos la totaliadad de los procesos del MVCT que corresponde para este mes a 41 procesos.
En términos acumulados este indicador también presenta una ejecución del100% debido a que en este periodo se publicó en SECOP en los tiempos establecidos la totaliadad de los procesos del MVCT que corresponden para lo corrido de la vigencia a 588 procesos.
Lo anterior ubica el rango de gestión de cumplimiento de la meta en sobresaliente, que indica que tiene una tendencia positiva.</t>
  </si>
  <si>
    <t xml:space="preserve">      El indicador "Porcentaje de contratos suscritos que están precedidos de una adecuada planeación y programación que permita la publicación al secop dentro de los tiempos establecido" durante el mes de abril  de 2018 presentó una ejecución del 100%, debido a que en este periodo se publicó en SECOP en los tiempos establecidos la totaliadad de los procesos del MVCT que corresponde para este mes a 28 procesos.
En términos acumulados este indicador también presenta una ejecución del100% debido a que en este periodo se publicó en SECOP en los tiempos establecidos la totaliadad de los procesos del MVCT que corresponden para lo corrido de la vigencia a 547 procesos.
Lo anterior ubica el rango de gestión de cumplimiento de la meta en sobresaliente, que indica que tiene una tendencia positiva.</t>
  </si>
  <si>
    <t xml:space="preserve">      El indicador "Porcentaje de contratos suscritos que están precedidos de una adecuada planeación y programación que permita la publicación al secop dentro de los tiempos establecido" durante el mes de marzo de 2018 presentó una ejecución del 100%, debido a que en este periodo se publicó en SECOP en los tiempos establecidos la totaliadad de los procesos del MVCT que corresponde para este mes a 23 procesos.
En términos acumulados este indicador también presenta una ejecución del100% debido a que en este periodo se publicó en SECOP en los tiempos establecidos la totaliadad de los procesos del MVCT que corresponden para lo corrido de la vigencia a 519 procesos.
Lo anterior ubica el rango de gestión de cumplimiento de la meta en sobresaliente, que indica que tiene una tendencia positiva.</t>
  </si>
  <si>
    <t xml:space="preserve">      El indicador "Porcentaje de contratos suscritos que están precedidos de una adecuada planeación y programación que permita la publicación al secop dentro de los tiempos establecido" durante el mes de febrero de 2018 presentó una ejecución del 100%, debido a que en este periodo se publicó en SECOP en los tiempos establecidos la totaliadad de los procesos del MVCT que corresponde para este mes a  16 procesos.
En términos acumulados este indicador también presenta una ejecución del100% debido a que en este periodo se publicó en SECOP en los tiempos establecidos la totaliadad de los procesos del MVCT que corresponden para lo corrido de la vigencia  a 496 procesos.
Lo anterior ubica el rango de gestión de cumplimiento de la meta en sobresaliente, que indica que tiene una tendencia positiva.
</t>
  </si>
  <si>
    <t xml:space="preserve"> El indicador "Capacitaciones en materia contractual" durante el mes de enero de 2018 no presentó ejecución debido a que en este periodo no se realizaron capacitaciones, lo cual indica un comportamiento positivo del indicador acorde con lo programado. </t>
  </si>
  <si>
    <t xml:space="preserve"> El indicador "Capacitaciones en materia contractual" durante el mes de febrero de 2018 no presentó ejecución debido a que en este periodo no se realizaron capacitaciones, lo cual indica un comportamiento positivo del indicador acorde con lo programado. </t>
  </si>
  <si>
    <t xml:space="preserve"> El indicador "Capacitaciones en materia contractual" durante el mes de marzo de 2018 no presentó ejecución debido a que en este periodo no se realizaron capacitaciones, lo cual indica un comportamiento positivo del indicador acorde con lo programado. </t>
  </si>
  <si>
    <t xml:space="preserve"> El indicador "Capacitaciones en materia contractual" durante el mes de abril de 2018 no presentó ejecución debido a que en este periodo no se realizaron capacitaciones, lo cual indica un comportamiento positivo del indicador acorde con lo programado. </t>
  </si>
  <si>
    <t xml:space="preserve">El indicador "Capacitaciones en materia contractual" arroja una ejecución del 100% para el mes de mayo  debido a que en este periodo se realizó la  capacitación en materia contractual que estaba programada para este period, lo cual indica un comportamiento positivo del indicador acorde con lo programado. La capacitación se hizo el 9 de mayo de 2018 "Supervisión de contratos y convenios de 2018" con la asistencia de 53 personas entre funcionarios y contratistas, de igual manera se reiteró la invitación para la capacitación del 12 de septiembre de 2018.
En términos acumulados este indicador presenta una ejecución del 50% dado que se ha realizado una de las dos capacitaciones que se tienen programadas para la vigencia.
El comportamiento de este indicador lo ubica en el rango de gestión de cumplimiento de la meta con una tendencia positiva, teniendo en cuenta que su comportamiento va desarrollándose de acuerdo a lo programado. </t>
  </si>
  <si>
    <t xml:space="preserve">      El indicador "Realizar los mantenimientos preventivos y correctivos identificados" durante el mes de febrero de 2018 presentó una ejecución del 100%, ya que se atendieron la totalidad de solicitudes hechas por los funcionarios, contratistas y dependencias del MVCT, para mantenimientos preventivos y correctivos, los cuales ascienden a 114 en este periodo.
En términos acumulados este indicador también presenta una ejecución del 100% ya que se atendieron la totalidad de solicitudes hechas por los funcionarios, contratistas y dependencias del MVCT, para mantenimientos preventivos y correctivos, los cuales ascienden a 246 en lo corrido de la vigencia.
Lo anterior ubica el rango de gestión de cumplimiento de la meta en sobresaliente, que indica que tiene una tendencia positiva.</t>
  </si>
  <si>
    <t>El indicador "Diagnóstico de la infraestructura realizada" durante el mes de febrero de 2018 no presentó avances de ejecución, sin embargo se vienen adelantando actividades. El indicador no presenta avance teniendo en cuenta que es de resultado.</t>
  </si>
  <si>
    <t>El indicador "Diagnóstico de la infraestructura realizada" durante el mes de enero de 2018 no presentó avances de ejecución, sin embargo se vienen adelantando actividades. El indicador no presenta avance teniendo en cuenta que es de resultado.</t>
  </si>
  <si>
    <t>El indicador "Diagnóstico de la infraestructura realizada" durante el mes de marzo de 2018 no presentó avances de ejecución, sin embargo se vienen adelantando actividades. El indicador no presenta avance teniendo en cuenta que es de resultado.</t>
  </si>
  <si>
    <t>El indicador "Diagnóstico de la infraestructura realizada" durante el mes de abril de 2018 no presentó avances de ejecución, sin embargo se vienen adelantando actividades. El indicador no presenta avance teniendo en cuenta que es de resultado.</t>
  </si>
  <si>
    <t>El indicador "Avance de ejecución  de las actividades de adecuación y mejoramiento" durante el mes de enero de 2018 no presentó avances de ejecución, sin embargo se vienen adelantando actividades en elmarco de este indicador.</t>
  </si>
  <si>
    <t>El indicador "Avance de ejecución  de las actividades de adecuación y mejoramiento" durante el mes de febrero de 2018 no presentó avances de ejecución, sin embargo se vienen adelantando actividades en el marco de este indicador: Durante el mes de febrero de 2018, se llevó a cabo una reunión con el objetivo de realizar la programación del diagnóstico del estado de la infraestructura de las sedes y de las actividades de adecuación y mantenimiento de las mismas.</t>
  </si>
  <si>
    <t xml:space="preserve">El indicador "Avance de ejecución  de las actividades de adecuación y mejoramiento" durante el mes de marzo de 2018 no presentó avances de ejecución, sin embargo se vienen adelantando actividades en el marco de este indicador: Se continuó con la realización de mediciones de cantidades de obra de los elementos faltantes para la licitación de la culminación de la nueva sede del MVCT.
Este indicador no presentó avance con corte a marzo 31 de 2018, ya que se está realizando el diagnóstico de la infraestructura.
</t>
  </si>
  <si>
    <t>El indicador "Avance de ejecución  de las actividades de adecuación y mejoramiento" durante el mes de abril de 2018 no presentó avances de ejecución, sin embargo se vienen adelantando actividades en el marco de este indicador: 
- Se ralizó la pintura de la fachada de la Sede Calle 18.
- Para la nueva sede la Subdirección de Servicios Administrativos, continúa con el desarrollo y consolidación de los componentes técnicos, jurídicos y financieros que permitan estructurar de forma adecuada las licitaciones y procesos de contratación necesarios para cumplir con las actividades previamente programadas.
Es importante resaltar que en desarrollo del contrato 549 de 2014 suscrito con EMTEL, se han presentado incumplimientos por parte del Contratista, respecto a las obligaciones contractuales adquiridas en virtud del precitado contrato; las cuales no han permitido recibir a satisfacción la nueva sede del MVCT y proceder de manera consecuente con las actividades de adecuación de las mismas.
En este sentido y teniendo en cuenta las observaciones y sugerencias emitidas en diferentes comités de contratación, se están evaluando  las acciones pertinentes y de carácter jurídico que permitan declarar un incumplimiento y posterior liquidación del contrato.</t>
  </si>
  <si>
    <t xml:space="preserve">El indicador "Actividades de saneamiento realizadas a activos del extinto ICT-INURBE" arroja una ejecución del 10% para el mes de enero debido a que en este periodo se intervinieron 7 activos del extinto ICT INURBE.
Se han adelantado actividades de saneamiento a los activos del extinto ICT-INURBE, en lo concerniente a suscripción resoluciones de incorporaciones, solicitudes de certificados catastrales especiales, solicitud de expedición de uso de suelo y solicitud de orden de consignación para la compra de certificado predial.
El comportamiento de este indicador lo ubica en el rango de gestión de cumplimiento de la meta con una tendencia positiva, teniendo en cuenta que su comportamiento va desarrollándose de acuerdo a lo programado. </t>
  </si>
  <si>
    <r>
      <t xml:space="preserve">El indicador "Actividades de saneamiento realizadas a activos del extinto ICT-INURBE" arroja una ejecución del 18,57% para el mes de febrero debido a que en este periodo se intervinieron 13 activos del extinto ICT INURBE.
En términos acumulados este indicador presenta una ejecución del 28,57% dado que se han intervenido 20  activos del extinto ICT INURBE en lo que va corrido de la vigencia.
</t>
    </r>
    <r>
      <rPr>
        <b/>
        <sz val="11"/>
        <color theme="1"/>
        <rFont val="Calibri"/>
        <family val="2"/>
        <scheme val="minor"/>
      </rPr>
      <t xml:space="preserve">
</t>
    </r>
    <r>
      <rPr>
        <sz val="11"/>
        <color theme="1"/>
        <rFont val="Calibri"/>
        <family val="2"/>
        <scheme val="minor"/>
      </rPr>
      <t xml:space="preserve">El comportamiento de este indicador lo ubica en el rango de gestión de cumplimiento de la meta con una tendencia positiva, teniendo en cuenta que su comportamiento va desarrollándose de acuerdo a lo programado. </t>
    </r>
  </si>
  <si>
    <t xml:space="preserve">El indicador "Actividades de saneamiento realizadas a activos del extinto ICT-INURBE" arroja una ejecución del 14,29% para el mes de marzo debido a que en este periodo se intervinieron 10 activos del extinto ICT INURBE.
En términos acumulados este indicador presenta una ejecución del 42,86% dado que se han intervenido 30  activos del extinto ICT INURBE en lo que va corrido de la vigencia.
El comportamiento de este indicador lo ubica en el rango de gestión de cumplimiento de la meta con una tendencia positiva, teniendo en cuenta que su comportamiento va desarrollándose de acuerdo a lo programado. </t>
  </si>
  <si>
    <t xml:space="preserve">El indicador "Actividades de saneamiento realizadas a activos del extinto ICT-INURBE" arroja una ejecución del 11,43% para el mes de abril debido a que en este periodo se intervinieron 8 activos del extinto ICT INURBE.
En términos acumulados este indicador presenta una ejecución del 54,29% dado que se han intervenido 38  activos del extinto ICT INURBE en lo que va corrido de la vigencia.
El comportamiento de este indicador lo ubica en el rango de gestión de cumplimiento de la meta con una tendencia positiva, teniendo en cuenta que su comportamiento va desarrollándose de acuerdo a lo programado. </t>
  </si>
  <si>
    <t xml:space="preserve">El indicador "Actividades de saneamiento realizadas a activos del extinto ICT-INURBE" arroja una ejecución del 11,43% para el mes de mayo debido a que en este periodo se intervinieron 8 activos del extinto ICT INURBE.
En términos acumulados este indicador presenta una ejecución del 65,71% dado que se han intervenido 46  activos del extinto ICT INURBE en lo que va corrido de la vigencia.
El comportamiento de este indicador lo ubica en el rango de gestión de cumplimiento de la meta con una tendencia positiva, teniendo en cuenta que su comportamiento va desarrollándose de acuerdo a lo programado. </t>
  </si>
  <si>
    <t>El indicador "Avance de ejecución  plan anual de Adquisiciones formulado y actualizado de gastos Generales, de acuerdo a los linemientos de Colombia Compra eficiente"  arroja un resultado de 30,44% con corte a enero de 2018, debido a que la ejecución presupuestal de gastos generales en términos de compromisos es de $3.106.181.333,61 de los $10.204.062.000 programados para el año. Esto indica un comportamiento positivo del indicador acorde con lo programado para la vigencia.</t>
  </si>
  <si>
    <t>El indicador "Avance de ejecución  plan anual de Adquisiciones formulado y actualizado de gastos Generales, de acuerdo a los linemientos de Colombia Compra eficiente"  arroja un resultado de 1,63% con corte a febrero de 2018, debido a que la ejecución presupuestal de gastos generales en términos de compromisos es de $165.873.055,41 de los $10.204.062.000 programados para el año. 
En términos acumulados  arroja una ejecución del 32,07% debido a que la ejecución acumulada presupuestal de gastos generales en términos de compromisos es de $3.272.054.389,02 de los $10.204.062.000 programados para el año. 
Esto indica un comportamiento positivo del indicador acorde con lo programado para la vigencia.</t>
  </si>
  <si>
    <t>El indicador "Avance de ejecución  plan anual de Adquisiciones formulado y actualizado de gastos Generales, de acuerdo a los linemientos de Colombia Compra eficiente"  arroja un resultado de 3,32% con corte a marzo de 2018, debido a que la ejecución presupuestal de gastos generales en términos de compromisos es de $339.186.500,44 de los $10.204.062.000 programados para el año. 
En términos acumulados  arroja una ejecución del 35,39% debido a que la ejecución acumulada presupuestal de gastos generales en términos de compromisos es de $3.611.240.889,46 de los $10.204.062.000 programados para el año. 
Esto indica un comportamiento positivo del indicador acorde con lo programado para la vigencia.</t>
  </si>
  <si>
    <t>El indicador "Avance de ejecución  plan anual de Adquisiciones formulado y actualizado de gastos Generales, de acuerdo a los linemientos de Colombia Compra eficiente"  arroja un resultado de 6,46% con corte a abril de 2018, debido a que la ejecución presupuestal de gastos generales en términos de compromisos es de $658.870.799,54 de los $10.204.062.000 programados para el año. 
En términos acumulados  arroja una ejecución del 41,85% debido a que la ejecución acumulada presupuestal de gastos generales en términos de compromisos es de $4.270.111.689 de los $10.204.062.000 programados para el año. 
Esto indica un comportamiento positivo del indicador acorde con lo programado para la vigencia.</t>
  </si>
  <si>
    <t>El indicador "Avance de ejecución  plan anual de Adquisiciones formulado y actualizado de gastos Generales, de acuerdo a los linemientos de Colombia Compra eficiente"  arroja un resultado de 8,69% con corte a mayo de 2018, debido a que la ejecución presupuestal de gastos generales en términos de compromisos es de $886.413.614,55 de los $10.204.062.000 programados para el año. 
En términos acumulados  arroja una ejecución del 50,53% debido a que la ejecución acumulada presupuestal de gastos generales en términos de compromisos es de $5.156.525.303,55 de los $10.204.062.000 programados para el año. 
Esto indica un comportamiento positivo del indicador acorde con lo programado para la vigencia.</t>
  </si>
  <si>
    <t>El indicador "Porcentaje de PAC Ejecutado" arroja una ejecución del 95,14% para el mes de febrero debido a que el PAC ejecutado para este periodo fue de $118.165.061.453,16 y el PAC solicitado fué de $ 124.194.898.450,22.
En términos acumulados este indicador presenta una ejecución del 94,49% ya que se tiene un PAC ejecutado de $120.151.135.582,16 y un PAC solicitado para la vigencia de $ 127.154.083.228,33.
El comportamiento de este indicador lo ubica en el rango de gestión de cumplimiento de la meta con una tendencia positiva, teniendo en cuenta que las ejecuciones del PAC a la fecha están acordes a lo programado.</t>
  </si>
  <si>
    <t>El indicador "Porcentaje de PAC Ejecutado" arroja una ejecución del 96,34% para el mes de marzo debido a que el PAC ejecutado para este periodo fue de $322.969.082.782,41 y el PAC solicitado fué de $335.230.354.111,33.
En términos acumulados este indicador presenta una ejecución del 95,83% ya que se tiene un PAC ejecutado de $43.120.218.364,57 y un PAC solicitado para la vigencia de $ 462.384.437.339,66.
El comportamiento de este indicador lo ubica en el rango de gestión de cumplimiento de la meta con una tendencia positiva, teniendo en cuenta que las ejecuciones del PAC a la fecha están acordes a lo programado.</t>
  </si>
  <si>
    <t>El indicador "Porcentaje de PAC Ejecutado" arroja una ejecución del 95,06% para el mes de abril debido a que el PAC ejecutado para este periodo fue de $169.034.168.238,84 y el PAC solicitado fué de $177.818.929.607,76.
En términos acumulados este indicador presenta una ejecución del 95,62% ya que se tiene un PAC ejecutado de $612.154.386.603,417 y un PAC solicitado para la vigencia de $ 640.203.366.947,42.
El comportamiento de este indicador lo ubica en el rango de gestión de cumplimiento de la meta con una tendencia positiva, teniendo en cuenta que las ejecuciones del PAC a la fecha están acordes a lo programado.</t>
  </si>
  <si>
    <t>El indicador "Porcentaje de PAC Ejecutado" arroja una ejecución del 94,17% para el mes de mayo debido a que el PAC ejecutado para este periodo fue de $168.903.990.597,74 y el PAC solicitado fué de $179.351.974.248,92.
En términos acumulados este indicador presenta una ejecución del 95,30% ya que se tiene un PAC ejecutado de $781.058.377.201,15 y un PAC solicitado para la vigencia de $819.555.341.196,34.
El comportamiento de este indicador lo ubica en el rango de gestión de cumplimiento de la meta con una tendencia positiva, teniendo en cuenta que las ejecuciones del PAC a la fecha están acordes a lo programado.</t>
  </si>
  <si>
    <t>El indicador "Productos de comunicación aprobados para los canales de comunicación interna" arroja un resultado de 67 productos de comunicación interna en el mes de enero, lo cual indica un comportamiento positivo del indicador acorde con lo programado.</t>
  </si>
  <si>
    <t>El indicador "Productos de comunicación aprobados para los canales de comunicación interna" arroja un resultado de 72 productos de comunicación interna en el mes de febrero, para un total acumulado de 139productos de comunicación en el año, lo cual indica un comportamiento positivo del indicador acorde con lo programado.</t>
  </si>
  <si>
    <t>El indicador "Productos de comunicación aprobados para los canales de comunicación interna" arroja un resultado de 74 productos de comunicación interna en el mes de marzo, para un total acumulado de 213 productos de comunicación en el año, lo cual indica un comportamiento positivo del indicador acorde con lo programado.</t>
  </si>
  <si>
    <t>El indicador "Productos de comunicación aprobados para los canales de comunicación interna" arroja un resultado de 67 productos de comunicación interna en el mes de abril, para un total acumulado de 280 productos de comunicación en el año, lo cual indica un comportamiento positivo del indicador acorde con lo programado.</t>
  </si>
  <si>
    <t>El indicador "Productos de comunicación aprobados para los canales de comunicación interna" arroja un resultado de 91 productos de comunicación interna en el mes de mayo, para un total acumulado de 371 productos de comunicación en el año, lo cual indica un comportamiento positivo del indicador acorde con lo programado.</t>
  </si>
  <si>
    <t>El indicador "Productos de comunicación aprobados para los canales de comunicación externa" arroja un resultado de 157 productos de comunicación externa en el mes de enero, lo cual indica un comportamiento positivo del indicador acorde con lo programado.</t>
  </si>
  <si>
    <t>El indicador "Productos de comunicación aprobados para los canales de comunicación externa" arroja un resultado de 261 productos de comunicación externa en el mes de febrero, para un total acumulado de 418 productos de comunicación en el año, lo cual indica un comportamiento positivo del indicador acorde con lo programado.</t>
  </si>
  <si>
    <t>El indicador "Productos de comunicación aprobados para los canales de comunicación externa" arroja un resultado de 219 productos de comunicación externa en el mes de marzo, para un total acumulado de 637 productos de comunicación en el año, lo cual indica un comportamiento positivo del indicador acorde con lo programado.</t>
  </si>
  <si>
    <t>El indicador "Productos de comunicación aprobados para los canales de comunicación externa" arroja un resultado de 191 productos de comunicación externa en el mes de abril, para un total acumulado de 828 productos de comunicación en el año, lo cual indica un comportamiento positivo del indicador acorde con lo programado.</t>
  </si>
  <si>
    <t>El indicador "Productos de comunicación aprobados para los canales de comunicación externa" arroja un resultado de 209 productos de comunicación externa en el mes de mayo, para un total acumulado de 1.037 productos de comunicación en el año, lo cual indica un comportamiento positivo del indicador acorde con lo programado.</t>
  </si>
  <si>
    <t>El indicador "Noticias positivas publicadas" arroja una ejecución del 95,80% para el mes de enero debido a que las noticias positivas del MVCT fueron 319 y las noticias publicadas fueron 333.
El comportamiento de este indicador lo ubica en el rango de gestión de cumplimiento de la meta con una tendencia positiva, teniendo en cuenta que la ejecución a la fecha está acorde a lo programado.</t>
  </si>
  <si>
    <t>El indicador "Noticias positivas publicadas" arroja una ejecución del 96,04% para el mes de febrero debido a que las noticias positivas del MVCT fueron 388 y las noticias publicadas fueron 404.
En términos acumulados este indicador presenta una ejecución del 95,93% ya que el total de noticias positivas es de 707 y el total de noticias publicadas es de 737.
El comportamiento de este indicador lo ubica en el rango de gestión de cumplimiento de la meta con una tendencia positiva, teniendo en cuenta que la ejecución a la fecha está acorde a lo programado.</t>
  </si>
  <si>
    <t>El indicador "Noticias positivas publicadas" arroja una ejecución del 95,04% para el mes de marzo debido a que las noticias positivas del MVCT fueron 230y las noticias publicadas fueron 242.
En términos acumulados este indicador presenta una ejecución del 95,71% ya que el total de noticias positivas es de 937 y el total de noticias publicadas es de 979.
El comportamiento de este indicador lo ubica en el rango de gestión de cumplimiento de la meta con una tendencia positiva, teniendo en cuenta que la ejecución a la fecha está acorde a lo programado.</t>
  </si>
  <si>
    <t>El indicador "Noticias positivas publicadas" arroja una ejecución del 94,14% para el mes de abril debido a que las noticias positivas del MVCT fueron 273 y las noticias publicadas fueron 290.
En términos acumulados este indicador presenta una ejecución del 95,35% ya que el total de noticias positivas es de 1.210 y el total de noticias publicadas es de 1.269.
El comportamiento de este indicador lo ubica en el rango de gestión de cumplimiento de la meta con una tendencia positiva, teniendo en cuenta que la ejecución a la fecha está acorde a lo programado.</t>
  </si>
  <si>
    <t>El indicador "Noticias positivas publicadas" arroja una ejecución del 91,28% para el mes de mayo debido a que las noticias positivas del MVCT fueron 199 y las noticias publicadas fueron 218.
En términos acumulados este indicador presenta una ejecución del 94,75% ya que el total de noticias positivas es de 1.409 y el total de noticias publicadas es de 1.487.
El comportamiento de este indicador lo ubica en el rango de gestión de cumplimiento de la meta con una tendencia positiva, teniendo en cuenta que la ejecución a la fecha está acorde a lo programado.</t>
  </si>
  <si>
    <t>El indicador "Porcentaje de avance del Plan Anual de Empleos Vacantes actualizado y publicado en la página web institucional" arroja una ejecución acumulada del 100% para el mes de febrero ya que se cumplieron en su totalidad las 3  actividades programadas en el Plan Anual de Empleos Vacantes del MVCT de la vigencia 2018:
Se actualizó la información de los empleos vacantes en la matriz del DAFP el 12 de febrero de 2018.  Adicionalmente,  se elaboraron los documentos del Plan Anual de Vacantes y del Plan de Previsión del Empleo Público y  se publicaron los documentos del Plan Anual de Vacantes y del Plan de Previsión vigencia 2018. 
Una vez elaborado el documento denominado Plan Anual de Vacantes y en cumplimiento de lo establecido en la Ley 1712 de 2014, se realizó la publicación en la página web de la entidad, en el siguiente link:
http://portal.minvivienda.local/Documents/Sobre%20el%20Ministerio/Talento%20humano/PLAN%20DE%20VACANTES.pdf
El comportamiento de este indicador lo ubica en el rango de gestión de cumplimiento de la meta con una tendencia positiva, teniendo en cuenta que se cumplió al 100% con lo programado.</t>
  </si>
  <si>
    <t>El indicador "Porcentaje de avance del Plan Anual de Empleos Vacantes actualizado y publicado en la página web institucional"  se cumplió en un 100% en el mes de febrero.</t>
  </si>
  <si>
    <t>El indicador "Porcentaje de avance del Plan anual de Trabajo de Seguridad y Salud en el Trabajo" arroja una ejecución del 23,05% para el mes de marzo debido a que se desarrollaron 71 actividades del plan anual de  seguridad y salud en el Trabajo de las 308 programadas para la vigencia. 
Durante el primer trimestre del año el indicador presentó un avance positivo ya que se ejecutaron  las actividades dispuestas en el plan de trabajo y la aprobación documental del SGSST, de acuerdo a lo establecido en la normatividad actual.
El Grupo de Talento Humano realizó 71 actividades de 308 programadas para la vigencia, referentes a prevención y promoción de los subprogramas de Medicina Preventiva, Higiene, Seguridad y Emergencias, a 31 de marzo,  de acuerdo con lo contemplado en el plan de trabajo vigencia 2018 y dentro de las actividades más relevantes se encuentran las siguientes:
Higiene y Seguridad Industrial:  Revisión y  actualización de  la documentación existente en temas de higiene y seguridad industrial, Programa de seguridad vial -Inspecciones a vehículos, Revisión documental  del programa de seguridad vial, Elaboración de la herramienta de verificación de trabajo seguro en vehículos, segunda capacitación a brigada  de  emergencias, manejo de extintores, Complementar y actualizar la información de la matriz de peligros  de vehículos y conductores e Inspecciones a los equipos relacionados con la prevención y la atención de emergencias.
Vigilancia Epidemiológica: Riesgo Biomecánico: Identificación y clasificación de la población objeto de vigilancia epidemiológica, aplicación de encuestas   de sintomatología por DME, valoraciones osteomusculares, Rutina de ejercicios, Inspecciones de puesto de trabajo. Escuelas terapéuticas.
Riesgo Cardiovascular: Análisis de los resultados del informe de condiciones de Salud y Jornada de acondicionamiento físico Pilates rumba.
Riesgo Psicosocial: Se da inicio a la aplicación de la Batería de Riesgo psicosocial y Seguimientos a asesorías individuales.
Durante el trimestre se ejecutaron las actividades dispuestas en el plan de trabajo y la aprobación documental del SGSST. Así mismo, se dio inicio a lo establecido en la Resolución 1111 de 2017, se realizaron las actividades de sensibilización de las disposiciones del SGSST y actividades de promoción y prevención, entre otras.
El comportamiento de este indicador lo ubica en el rango de gestión de cumplimiento de la meta con una tendencia positiva, teniendo en cuenta que las obligaciones a la fecha están acordes a lo programado.</t>
  </si>
  <si>
    <t>Indicador "Porcentaje de avance del Plan Estratégico de recursos humanos formulado, implementado y publicado en la página web institucional". Las actividades de ejecución en el marco de este indicador comenzarán a reportarse a partir del segundo semestre de la vigencia 2018, ya que su periodicidad es semestral.</t>
  </si>
  <si>
    <t>Indicador "Porcentaje de avance del programa de bienestar social e incentivos, formulado, implementado y publicado en la intranet". Las actividades de ejecución en el marco de este indicador comenzarán a reportarse a partir del segundo semestre de la vigencia 2018, ya que su periodicidad es semestral.</t>
  </si>
  <si>
    <t>Indicador "Porcentaje de avance del Plan Institucional de Capacitación, formulado, implementado y publicado en la Intranet". Las actividades de ejecución en el marco de este indicador comenzarán a reportarse a partir del segundo semestre de la vigencia 2018, ya que su periodicidad es semestral.</t>
  </si>
  <si>
    <t xml:space="preserve">El indicador "Porcentaje de hogares urbanos en condiciones de déficit de vivienda cuantitativo" del PND 2014-2018 tiene reporte anual con rezago de 120 días acorde con lo establecido en su hoja de vida y se toma de los resultados arrojados en la Gran Encuesta Integrada de Hogares – GEIH- administrada por el DANE. El último reporte oficial establece que en 2016 el déficit cuantitativo de vivienda urbana en Colombia se ubicó en 5,6%.
Con el fin de disminuir el déficit de vivienda urbana y apoyar diversos segmentos de la población, se han creado diferentes programas en la política de vivienda urbana como son VIPA, Mi Casa Ya, Cobertura a la tasa de interés VIP-VIS y Programa de Vivienda Gratuita. </t>
  </si>
  <si>
    <t>El indicador "Porcentaje de hogares urbanos en condiciones de déficit de vivienda cuantitativo" del PND 2014-2018 tiene reporte anual con rezago de 120 días acorde con lo establecido en su hoja de vida y se toma de los resultados arrojados en la Gran Encuesta Integrada de Hogares – GEIH- administrada por el DANE. El último reporte oficial establece que en 2016 el déficit cuantitativo de vivienda urbana en Colombia se ubicó en 5,6%.
Con el fin de disminuir el déficit de vivienda urbana y apoyar diversos segmentos de la población, se han creado diferentes programas en la política de vivienda urbana como son VIPA, Mi Casa Ya, Cobertura a la tasa de interés VIP-VIS y Programa de Vivienda Gratuita.</t>
  </si>
  <si>
    <t>El indicador "Porcentaje de hogares urbanos en condiciones de déficit de vivienda cuantitativo" del PND 2014-2018 tiene reporte anual con rezago de 120 días acorde con lo establecido en su hoja de vida y se toma de los resultados arrojados en la Gran Encuesta Integrada de Hogares – GEIH- administrada por el DANE. El último reporte oficial establece que en 2017 el déficit cuantitativo de vivienda urbana en Colombia se ubicó en 5,20%.
Con el fin de disminuir el déficit de vivienda urbana y apoyar diversos segmentos de la población, se han creado diferentes programas en la política de vivienda urbana como son VIPA, Mi Casa Ya, Cobertura a la tasa de interés VIP-VIS y Programa de Vivienda Gratuita.</t>
  </si>
  <si>
    <t>La información de este indicador se reportó oficialmente en el mes de abril.
El indicador "Porcentaje de hogares urbanos en condiciones de déficit de vivienda cuantitativo" del PND 2014-2018 tiene reporte anual con rezago de 120 días acorde con lo establecido en su hoja de vida y se toma de los resultados arrojados en la Gran Encuesta Integrada de Hogares – GEIH- administrada por el DANE. El último reporte oficial establece que en 2017 el déficit cuantitativo de vivienda urbana en Colombia se ubicó en 5,20%.
Con el fin de disminuir el déficit de vivienda urbana y apoyar diversos segmentos de la población, se han creado diferentes programas en la política de vivienda urbana como son VIPA, Mi Casa Ya, Cobertura a la tasa de interés VIP-VIS y Programa de Vivienda Gratuita.</t>
  </si>
  <si>
    <t xml:space="preserve">El indicador "Porcentaje de hogares urbanos en condiciones de déficit de vivienda cualitativo" del PND 2014-2018 tiene reporte anual con rezago de 120 días acorde con lo establecido en su hoja de vida y se toma de los resultados arrojados en la Gran Encuesta Integrada de Hogares – GEIH- administrada por el DANE. El último reporte oficial establece que en 2016 el déficit cualitativo de vivienda urbana en Colombia se ubicó en 10,28%.
Con el fin de disminuir el déficit de vivienda urbana y apoyar diversos segmentos de la población, se han creado diferentes programas en la política de vivienda urbana como son VIPA, Mi Casa Ya, Cobertura a la tasa de interés VIP-VIS y Programa de Vivienda Gratuita. </t>
  </si>
  <si>
    <t xml:space="preserve">El indicador "Porcentaje de hogares urbanos en condiciones de déficit de vivienda cualitativo" del PND 2014-2018 tiene reporte anual con rezago de 120 días acorde con lo establecido en su hoja de vida y se toma de los resultados arrojados en la Gran Encuesta Integrada de Hogares – GEIH- administrada por el DANE. El último reporte oficial establece que en 2017 el déficit cualitativo de vivienda urbana en Colombia se ubicó en 9,70%.
Con el fin de disminuir el déficit de vivienda urbana y apoyar diversos segmentos de la población, se han creado diferentes programas en la política de vivienda urbana como son VIPA, Mi Casa Ya, Cobertura a la tasa de interés VIP-VIS y Programa de Vivienda Gratuita. </t>
  </si>
  <si>
    <t>La información de este indicador se reportó oficialmente en el mes de abril.
El indicador "Porcentaje de hogares urbanos en condiciones de déficit de vivienda cualitativo" del PND 2014-2018 tiene reporte anual con rezago de 120 días acorde con lo establecido en su hoja de vida y se toma de los resultados arrojados en la Gran Encuesta Integrada de Hogares – GEIH- administrada por el DANE. El último reporte oficial establece que en 2017 el déficit cualitativo de vivienda urbana en Colombia se ubicó en 9,70%.
Con el fin de disminuir el déficit de vivienda urbana y apoyar diversos segmentos de la población, se han creado diferentes programas en la política de vivienda urbana como son VIPA, Mi Casa Ya, Cobertura a la tasa de interés VIP-VIS y Programa de Vivienda Gratuita.</t>
  </si>
  <si>
    <t>El indicador "Estudios y Propuestas normativas y de política orientadas a optimizar el marco normativo en materia de Vivienda de desarrollo urbano y territorial sostenible" durante el mes de enero de 2018 reporta que se realizó 1 estudio y/o propuesta normativa.
La entidad elaboró un  (1) estudio y propuesta normativa y de política orientada a optimizar el marco normativo en materia de Vivienda de desarrollo urbano y territorial sostenible, obteniendo un avance en el indicador del 16,66%, con referencia a la meta programada para la vigencia de 6 estudios.
El estudio y propuesta normativa elaborada es el siguiente: “Por la cual se establecen los órdenes de priorización de los hogares potenciales beneficiarios y órdenes de selección de los hogares beneficiarios de la asignación de subsidios familiares de vivienda en especie” el cual fue publicado en la página web del ministerio el 19 de enero de 2018.
El comportamiento de este indicador lo ubica en el rango de gestión de cumplimiento de la meta con una tendencia positiva, teniendo en cuenta que se está comportando de acuerdo con lo programado.</t>
  </si>
  <si>
    <t>El indicador "Estudios y Propuestas normativas y de política orientadas a optimizar el marco normativo en materia de Vivienda de desarrollo urbano y territorial sostenible" para este mes no presenta avances, pero su ejecución se está desarrollando de acuerdo a lo programado para la vigencia.</t>
  </si>
  <si>
    <t>El indicador "Estudios y Propuestas normativas y de política orientadas a optimizar el marco normativo en materia de Vivienda de desarrollo urbano y territorial sostenible" durante el mes de mayo de 2018 reporta que se realizaron 2 estudios y/o propuestas normativas.
En términos acumulados la DSH elaboró tres estudios y/o propuestas normativas y de política orientadas a optimizar el marco normativo en materia de Vivienda de desarrollo urbano y territorial sostenible, obteniendo un avance en el indicador del 50%, con referencia a la meta programada para la vigencia de 6 estudios:
1. El estudio y propuesta normativa elaborada es el siguiente: “Por la cual se establecen los órdenes de priorización de los hogares potenciales beneficiarios y órdenes de selección de los hogares beneficiarios de la asignación de subsidios familiares de vivienda en especie” el cual fue publicado en la página web del ministerio el 19 de enero de 2018.
2. Uno tipo decreto "Por medio del cual se modifica el Decreto 1077 de 2015, Decreto Único Reglamentario del Sector Vivienda, Ciudad y Territorio, en lo relacionado con el acceso al subsidio familiar de vivienda en especie para áreas urbanas de los integrantes de la Fuerza Pública, que se encuentren en estado de vulnerabilidad y no cuenten con una solución habitacional y se adoptan otras disposiciones ". 
3. Otro proyecto normativo, tipo resolución "Por la cual se establecen criterios para realizar redistribuciones de cupos de recursos en el marco del Programa de Vivienda de Interés Prioritario para Ahorradores - VIPA”.
El comportamiento de este indicador lo ubica en el rango de gestión de cumplimiento de la meta con una tendencia positiva, teniendo en cuenta que se está comportando de acuerdo con lo programado</t>
  </si>
  <si>
    <t>El indicador "Títulos de predios fiscales y privados generados" durante el mes de enero de 2018 reporta que se generaron 40 títulos de predios fiscales y privados.
El comportamiento de este indicador lo ubica en el rango de gestión de cumplimiento de la meta con una tendencia positiva, teniendo en cuenta que se está comportando de acuerdo con lo programado.</t>
  </si>
  <si>
    <t>El indicador "Títulos de predios fiscales y privados generados" durante el mes de febrero de 2018 reporta que se generaron 529 títulos de predios fiscales y privados.
En términos acumulados, este indicador presenta 569 títulos de predios fiscales y privados generados durante el año.
El comportamiento de este indicador lo ubica en el rango de gestión de cumplimiento de la meta con una tendencia positiva, teniendo en cuenta que se está comportando de acuerdo con lo programado.</t>
  </si>
  <si>
    <t>El indicador "Títulos de predios fiscales y privados generados" durante el mes de abril de 2018 reporta que se generaron 422 títulos de predios fiscales y privados.
En términos acumulados, este indicador presenta 1.092 títulos de predios fiscales y privados generados durante el año.
El comportamiento de este indicador lo ubica en el rango de gestión de cumplimiento de la meta con una tendencia positiva, teniendo en cuenta que se está comportando de acuerdo con lo programado.</t>
  </si>
  <si>
    <t>El indicador "Títulos de predios fiscales y privados generados" durante el mes de mayo de 2018 reporta que se generaron 277 títulos de predios fiscales y privados.
En términos acumulados, este indicador presenta 1.369 títulos de predios fiscales y privados generados durante el año.
El comportamiento de este indicador lo ubica en el rango de gestión de cumplimiento de la meta con una tendencia positiva, teniendo en cuenta que se está comportando de acuerdo con lo programado.</t>
  </si>
  <si>
    <t>El indicador "Títulos de predios fiscales y privados generados" durante el mes de marzo de 2018 reporta que se generaron 101 títulos de predios fiscales y privados.
En términos acumulados, este indicador presenta 670 títulos de predios fiscales y privados generados durante el año.
Durante el período comprendido entre el 1 de enero al 31 de marzo de 2018, el Grupo de Titulación y Saneamiento Predial apoyó a las entidades territoriales en la generación de 670 títulos de propiedad en un total de 7 municipios, beneficiando aproximadamente a 2.680 personas.  
El indicador presenta un avance del 11%, correspondiente a 670 títulos de propiedad, con referencia a la meta programada para la vigencia que es de 6.000 títulos.
El comportamiento de este indicador lo ubica en el rango de gestión de cumplimiento de la meta con una tendencia positiva, teniendo en cuenta que se está comportando de acuerdo con lo programado.</t>
  </si>
  <si>
    <t>El indicador "Actividades de saneamiento realizadas a bienes inmuebles del extinto ICT-INURBE" durante el mes de enero de 2018 reporta que se adelantaron actividades de saneamiento sobre 362 bienes inmuebles del extinto ICT-INURBE.
El comportamiento de este indicador lo ubica en el rango de gestión de cumplimiento de la meta con una tendencia positiva, teniendo en cuenta que se está comportando de acuerdo con lo programado.</t>
  </si>
  <si>
    <t>El indicador "Número de bienes inmuebles del extinto ICT-INURBE respecto de los cuales se adelantaron actividades de saneamiento" durante el mes de febrero de 2018 reporta que se adelantaron actividades de saneamiento sobre 1.534 bienes inmuebles del extinto ICT-INURBE.
En términos acumulados, este indicador reporta que se adelantaron actividades de saneamiento sobre 1.896 bienes inmuebles del extinto ICT-INURBE durante el año.
El comportamiento de este indicador lo ubica en el rango de gestión de cumplimiento de la meta con una tendencia positiva, teniendo en cuenta que se está comportando de acuerdo con lo programado.</t>
  </si>
  <si>
    <t>El indicador "Número de bienes inmuebles del extinto ICT-INURBE respecto de los cuales se adelantaron actividades de saneamiento" durante el mes de marzo de 2018 reporta que se adelantaron actividades de saneamiento sobre 736 bienes inmuebles del extinto ICT-INURBE.
En términos acumulados, este indicador reporta que se adelantaron actividades de saneamiento sobre 2.632 bienes inmuebles del extinto ICT-INURBE durante el año.
Para este período el Grupo de Titulación y Saneamiento Predial (GTSP) ha adelantado 2.632 actividades de saneamiento de los predios de los extintos ICT-INURBE; Esta actividad contempla todas las acciones adelantadas por el GTSP en el ejercicio de sus labores tales como: Requisición de documentos para adelantar el estudio de los trámites y los estudios técnicos y jurídicos, la expedición de resoluciones y su consecuente actuación administrativa para la transferencia de los inmuebles conforme lo indique la normatividad vigente o identificar la dependencia competente dentro del Ministerio para adelantar los trámites pertinentes en cuanto a:  
a)   Cesión a título gratuito de bienes fiscales.  
b) Enajenación directa de viviendas de interés social ocupadas ilegalmente de propiedad. 
c) Enajenación de bienes ocupados por instituciones religiosas e iglesias. 
d) Cesión a título gratuito de bienes con vocación de uso público y/o zonas de cesión obligatoria y gratuita. 
e) Cancelación de gravámenes a favor del ICT-INURBE; beneficiando a las entidades territoriales, personas naturales, con trámites pendientes y ocupantes de predios de los extintos ICT-INURBE en el país. 
Este indicador presenta un avance del 100%, alcanzando la meta programada para la vigencia de 2.200 de actividades de saneamiento realizadas a bienes inmuebles del extinto ICT-INURBE, en atención a lo siguiente:
•         El Grupo de Titulación y Saneamiento Predial – GTSP, se encuentra adelantando labores de depuraciones sobre la base de datos recibida del extinto ICT – INURBE, que como resultado se cerraron expedientes cuya gestión ya estaba concluida, incrementando el número de actividades de saneamiento de predios de los extintos ICT – INURBE.
•         Adicionalmente, con la suscripción de los convenios interadministrativo de cooperación celebrado entre el MVCT  y los municipios de Barranquilla, Valledupar, Montería, Sincelejo y Barrancabermeja, con el objeto de aunar esfuerzos técnicos, jurídicos y administrativos para la identificación, el saneamiento y la transferencias de los bienes inmuebles del extinto ICT-INURBE, se lograron identificar predios objetos de modificación en el estado de la base de datos ICT-INURBE.
•         Es importante resaltar, que el aplicativo ICT-INURBE sufrió modificaciones en atención a la implementación del Plan de Mejora efectuado en el año 2017.
•         Finalmente, como resultado del registro de las resoluciones del Artículo 6° de la Ley 1001, se realizó la creación, modificación y respectivos cierres de las Zonas de Cesión, las cuales generaron incremento en las actividades para el saneamiento de los predios.
El comportamiento de este indicador lo ubica en el rango de gestión de cumplimiento de la meta con una tendencia positiva, teniendo en cuenta que se está comportando de acuerdo con lo programado.</t>
  </si>
  <si>
    <t>El indicador "Número de bienes inmuebles del extinto ICT-INURBE respecto de los cuales se adelantaron actividades de saneamiento" durante el mes de abril de 2018 reporta que se adelantaron actividades de saneamiento sobre 958 bienes inmuebles del extinto ICT-INURBE.
En términos acumulados, este indicador reporta que se adelantaron actividades de saneamiento sobre 3.590 bienes inmuebles del extinto ICT-INURBE durante el año.
El comportamiento de este indicador lo ubica en el rango de gestión de cumplimiento de la meta con una tendencia positiva, teniendo en cuenta que se está comportando de acuerdo con lo programado.</t>
  </si>
  <si>
    <t>El indicador "Número de bienes inmuebles del extinto ICT-INURBE respecto de los cuales se adelantaron actividades de saneamiento" durante el mes de mayo de 2018 reporta que se adelantaron actividades de saneamiento sobre 594 bienes inmuebles del extinto ICT-INURBE.
En términos acumulados, este indicador reporta que se adelantaron actividades de saneamiento sobre 4.184 bienes inmuebles del extinto ICT-INURBE durante el año.
El comportamiento de este indicador lo ubica en el rango de gestión de cumplimiento de la meta con una tendencia positiva, teniendo en cuenta que se está comportando de acuerdo con lo programado.</t>
  </si>
  <si>
    <t>El indicador "Viviendas de interés prioritario iniciadas en el programa de vivienda - VIPA" es del PND 2014-2018 cuya medición presenta un rezago de 30 diás, durante el mes de marzo de 2018 reporta que se iniciaron 1.347 viviendas de interés prioritario, para un total acumulado de 1.347 viviendas en la vigencia.
El programa de vivienda VIPA se tenía previsto finalizar en el año 2016, razón por la cual la meta programada en Sinergia fue establecida hasta ese año. Sin embargo, durante la vigencia 2018 se continuaron realizando actividades de cierre del programa.</t>
  </si>
  <si>
    <t>El indicador "Viviendas de interés prioritario y social iniciadas en el Programa de Cobertura Condicionada para Créditos de Vivienda Segunda Generación - Frech" es del PND 2014-2018 cuya medición presenta un rezago de 30 días, durante el mes de febrero de 2018 reporta que se iniciaron 2.455 viviendas de interés prioritarion el Programa de Cobertura Condicionada para Créditos de Vivienda Segunda Generación, para un total acumulado de 2.455 viviendas en la vigencia.
El comportamiento de este indicador lo ubica en el rango de gestión de cumplimiento de la meta con una tendencia positiva, teniendo en cuenta que se está comportando de acuerdo con lo programado.</t>
  </si>
  <si>
    <t>El indicador "Viviendas de interés prioritario y social iniciadas en el Programa de Cobertura Condicionada para Créditos de Vivienda Segunda Generación - Frech" es del PND 2014-2018 cuya medición presenta un rezago de 30 días, durante el mes de marzo de 2018 reporta que se iniciaron 3.590 viviendas de interés prioritarion el Programa de Cobertura Condicionada para Créditos de Vivienda Segunda Generación, para un total acumulado de 6.045 viviendas en la vigencia.
Al 31 de marzo de 2018, se iniciaron en el programa de Cobertura Condicionada para Créditos de Vivienda Segunda Generación - "Frech", un total de 6.045 viviendas de interés prioritario y social, de las 33.500 que se tienen como meta para esta vigencia, discriminados de la siguiente manera: 1.238 VIP y 4.807 VIS.
El comportamiento de este indicador lo ubica en el rango de gestión de cumplimiento de la meta con una tendencia positiva, teniendo en cuenta que se está comportando de acuerdo con lo programado.</t>
  </si>
  <si>
    <t>El indicador "Viviendas de interés prioritario y social iniciadas en el Programa de Cobertura Condicionada para Créditos de Vivienda Segunda Generación - Frech" es del PND 2014-2018 cuya medición presenta un rezago de 30 días, durante el mes de abril de 2018 reporta que se iniciaron 2.973 viviendas de interés prioritarion el Programa de Cobertura Condicionada para Créditos de Vivienda Segunda Generación, para un total acumulado de 9.018 viviendas en la vigencia.
El comportamiento de este indicador lo ubica en el rango de gestión de cumplimiento de la meta con una tendencia positiva, teniendo en cuenta que se está comportando de acuerdo con lo programado.</t>
  </si>
  <si>
    <t>El indicador "Viviendas de interés prioritario y social iniciadas en el Programa de Cobertura Condicionada para Créditos de Vivienda Segunda Generación - Frech" es del PND 2014-2018 cuya medición presenta un rezago de 30 días, durante el mes de mayo de 2018 reporta que se iniciaron 2.341 viviendas de interés prioritarion el Programa de Cobertura Condicionada para Créditos de Vivienda Segunda Generación, para un total acumulado de 11.359 viviendas en la vigencia.
El comportamiento de este indicador lo ubica en el rango de gestión de cumplimiento de la meta con una tendencia positiva, teniendo en cuenta que se está comportando de acuerdo con lo programado.</t>
  </si>
  <si>
    <t>El indicador "Coberturas otorgadas en el programa de cobertura condicionada para créditos de vivienda segunda generación" es del PND 2014-2018 cuya medición presenta un rezago de 30 días, durante el mes de enero no presentó avances.</t>
  </si>
  <si>
    <t xml:space="preserve">El indicador "Viviendas de interés prioritario y social iniciadas en el Programa de Cobertura Condicionada para Créditos de Vivienda Segunda Generación - Frech" es del PND 2014-2018 cuya medición presenta un rezago de 30 días, durante el mes de enero no presentó avances.
</t>
  </si>
  <si>
    <t>El indicador "Coberturas otorgadas en el programa de cobertura condicionada para créditos de vivienda segunda generación" es del PND 2014-2018 cuya medición presenta un rezago de 30 días, durante el mes de febrero no presentó avances.</t>
  </si>
  <si>
    <t>El indicador "Coberturas otorgadas en el programa de cobertura condicionada para créditos de vivienda segunda generación" durante el mes de marzo de 2018 reporta que se otorgaro 5.423 coberturas en el programa de cobertura condicionada para créditos de vivienda segunda generación, para un total acumulado de 5.423 coberturas otorgadas en la vigencia.
El comportamiento de este indicador lo ubica en el rango de gestión de cumplimiento de la meta con una tendencia positiva, teniendo en cuenta que se está comportando de acuerdo con lo programado.</t>
  </si>
  <si>
    <t>El indicador "Coberturas otorgadas en el programa de cobertura condicionada para créditos de vivienda segunda generación" durante el mes de abril de 2018 reporta que se otorgaro 3.229 coberturas en el programa de cobertura condicionada para créditos de vivienda segunda generación, para un total acumulado de 8.652 coberturas otorgadas en la vigencia.
El comportamiento de este indicador lo ubica en el rango de gestión de cumplimiento de la meta con una tendencia positiva, teniendo en cuenta que se está comportando de acuerdo con lo programado.</t>
  </si>
  <si>
    <t>El indicador "Viviendas iniciadas de interés prioritario programa de vivienda gratis segunda fase" en el mes de enero no presenta avances.</t>
  </si>
  <si>
    <t>El indicador "Viviendas iniciadas de interés prioritario programa de vivienda gratis segunda fase" en el mes de febrero no presenta avances.</t>
  </si>
  <si>
    <t>El indicador "Viviendas iniciadas de interés prioritario programa de vivienda gratis segunda fase" en el mes de abril no presenta avances.</t>
  </si>
  <si>
    <t>El indicador "Viviendas iniciadas de interés prioritario programa de vivienda gratis segunda fase" en el mes de mayo no presenta avances.</t>
  </si>
  <si>
    <t xml:space="preserve">Número </t>
  </si>
  <si>
    <t>El indicador "Porcentaje de Subsisdios Familiares de Vivienda en Especie asignados a Población desplazada en el programa de vivienda gratuita" es del PND 2014-2018 cuya medición presenta un rezago de 30 días, arroja una ejecución del 100% para el mes de enero debido a que se asignaron 116 subsidios familiares de vivienda en especie del programa de vivienda gratuita primera fase, a la población en situación de desplazamiento, del total asignado el cual fue de 116 subsidios.
El comportamiento de este indicador lo ubica en el rango de gestión de cumplimiento de la meta con una tendencia positiva, teniendo en cuenta que su comportamiento va de acuerdo a lo programado.</t>
  </si>
  <si>
    <t>El indicador "Porcentaje de Subsisdios Familiares de Vivienda en Especie asignados a Población desplazada en el programa de vivienda gratuita" es del PND 2014-2018 cuya medición presenta un rezago de 30 días, arroja una ejecución del 99,50% para el mes de febrero debido a que se asignaron 598 subsidios familiares de vivienda en especie del programa de vivienda gratuita primera fase, a la población en situación de desplazamiento, del total asignado el cual fue de 601 subsidios.
En términos acumulados este indicador presenta una ejecución del 99,58% ya que se han asignado 714 subsidios familiares de vivienda en especie del programa de vivienda gratuita primera fase, a la población en situación de desplazamiento, del total asignado el cual fue de 717 subsidios en lo corrido de la vigencia.
El comportamiento de este indicador lo ubica en el rango de gestión de cumplimiento de la meta con una tendencia positiva, teniendo en cuenta que su comportamiento va de acuerdo a lo programado.</t>
  </si>
  <si>
    <t>El indicador "Porcentaje de Subsisdios Familiares de Vivienda en Especie asignados a Población desplazada en el programa de vivienda gratuita" es del PND 2014-2018 cuya medición presenta un rezago de 30 días, arroja una ejecución del 97,63% para el mes de marzo debido a que se asignaron 165 subsidios familiares de vivienda en especie del programa de vivienda gratuita primera fase, a la población en situación de desplazamiento, del total asignado el cual fue de 169 subsidios.
En términos acumulados este indicador presenta una ejecución del 99,21% ya que se han asignado 879 subsidios familiares de vivienda en especie del programa de vivienda gratuita primera fase, a la población en situación de desplazamiento, del total asignado el cual fue de 886 subsidios en lo corrido de la vigencia.
El comportamiento de este indicador lo ubica en el rango de gestión de cumplimiento de la meta con una tendencia positiva, teniendo en cuenta que su comportamiento va de acuerdo a lo programado.</t>
  </si>
  <si>
    <t>El indicador "Porcentaje de Subsisdios Familiares de Vivienda en Especie asignados a Población desplazada en el programa de vivienda gratuita" es del PND 2014-2018 cuya medición presenta un rezago de 30 días, arroja una ejecución del 93,12% para el mes de abril debido a que se asignaron 325 subsidios familiares de vivienda en especie del programa de vivienda gratuita primera fase, a la población en situación de desplazamiento, del total asignado el cual fue de 349 subsidios.
En términos acumulados este indicador presenta una ejecución del 97,49% ya que se han asignado 1.204 subsidios familiares de vivienda en especie del programa de vivienda gratuita primera fase, a la población en situación de desplazamiento, del total asignado el cual fue de 1.235 subsidios en lo corrido de la vigencia.
El comportamiento de este indicador lo ubica en el rango de gestión de cumplimiento de la meta con una tendencia positiva, teniendo en cuenta que su comportamiento va de acuerdo a lo programado.</t>
  </si>
  <si>
    <t>El indicador "Viviendas escrituradas del Programa de Vivienda Gratuita 1 y 2" del PND 2014-2018 cuya medición presenta un rezago de 30 días, durante el mes de enero de 2018 no reporta avances. Sin embargo es preciso aclarar que este indicador reporta un acumulado para el cuatrienio de 98.971 viviendas escrituradas.
El comportamiento de este indicador lo ubica en el rango de gestión de cumplimiento de la meta con una tendencia positiva, teniendo en cuenta que se está comportando de acuerdo con lo programado.</t>
  </si>
  <si>
    <t>El indicador "Viviendas escrituradas del Programa de Vivienda Gratuita 1 y 2" es del PND 2014-2018 cuya medición presenta un rezago de 30 días, durante el mes de marzo de 2018 reporta que se escrituraron 350 viviendas en el programa de vivienda gratuita segunda fase;  para un total acumulado de 1.042 viviendas en la vigencia.
El comportamiento de este indicador lo ubica en el rango de gestión de cumplimiento de la meta con una tendencia positiva, teniendo en cuenta que se está comportando de acuerdo con lo programado.</t>
  </si>
  <si>
    <t>El indicador "Viviendas escrituradas del Programa de Vivienda Gratuita 1 y 2" del PND 2014-2018 cuya medición presenta un rezago de 30 días, durante el mes de febrero de 2018 reporta que se escrituraron 324 viviendas en el programa de vivienda gratuita primera fase y 368 viviendas en el programa de vivienda gratuita segunda fase, para un total 692 viviendas escrituradas en lo corrido de la vigencia.
El comportamiento de este indicador lo ubica en el rango de gestión de cumplimiento de la meta con una tendencia positiva, teniendo en cuenta que se está comportando de acuerdo con lo programado.</t>
  </si>
  <si>
    <t>El indicador "Viviendas escrituradas del Programa de Vivienda Gratuita 1 y 2" es del PND 2014-2018 cuya medición presenta un rezago de 30 días, durante el mes de abril de 2018 reporta que se escrituraron 363 viviendas de interés prioritario en los programas de vivienda gratuita primera y segunda fase;  para un total acumulado de 1.405 viviendas en la vigencia.
El comportamiento de este indicador lo ubica en el rango de gestión de cumplimiento de la meta con una tendencia positiva, teniendo en cuenta que se está comportando de acuerdo con lo programado.</t>
  </si>
  <si>
    <t>El indicador "Viviendas escrituradas del Programa de Vivienda Gratuita 1 y 2" es del PND 2014-2018 cuya medición presenta un rezago de 30 días, durante el mes de mayo de 2018 reporta que se escrituraron 123 viviendas de interés prioritario en los programas de vivienda gratuita primera y segunda fase;  para un total acumulado de 1.528 viviendas en la vigencia.
El comportamiento de este indicador lo ubica en el rango de gestión de cumplimiento de la meta con una tendencia positiva, teniendo en cuenta que se está comportando de acuerdo con lo programado.</t>
  </si>
  <si>
    <t>El indicador "Viviendas terminadas del Programa de Vivienda Gratuita 1 y 2" del PND 2014-2018 cuya medición presenta un rezago de 30 días, durante el mes de enero de 2018 no presentó avances. Sin embargo es preciso aclarar que este indicador reporta un acumulado para el cuatrienio de 105.570 viviendas terminadas.
El comportamiento de este indicador lo ubica en el rango de gestión de cumplimiento de la meta con una tendencia positiva, teniendo en cuenta que se está comportando de acuerdo con lo programado.</t>
  </si>
  <si>
    <t xml:space="preserve">Número  </t>
  </si>
  <si>
    <t>El indicador "Viviendas terminadas del Programa de Vivienda Gratuita 1 y 2" del PND 2014-2018 cuya medición presenta un rezago de 30 días, durante el mes de febrero de 2018 no presentó avances. Sin embargo es preciso aclarar que este indicador reporta un acumulado para el cuatrienio de 105.570 viviendas terminadas.
El comportamiento de este indicador lo ubica en el rango de gestión de cumplimiento de la meta con una tendencia positiva, teniendo en cuenta que se está comportando de acuerdo con lo programado.</t>
  </si>
  <si>
    <t>El indicador "Viviendas terminadas del Programa de Vivienda Gratuita 1 y 2" del PND 2014-2018 cuya medición presenta un rezago de 30 días, durante el mes de marzo de 2018 no presentó avances. Sin embargo es preciso aclarar que este indicador reporta un acumulado para el cuatrienio de 105.570 viviendas terminadas.
El comportamiento de este indicador lo ubica en el rango de gestión de cumplimiento de la meta con una tendencia positiva, teniendo en cuenta que se está comportando de acuerdo con lo programado.</t>
  </si>
  <si>
    <t>El indicador "Viviendas terminadas del Programa de Vivienda Gratuita 1 y 2" es del PND 2014-2018 cuya medición presenta un rezago de 30 días, durante el mes de abril de 2018 reporta se terminaron un total de 657 viviendas de interés prioritario en los Programas de Vivienda Gratuita 1 y 2 en la vigencia.
El comportamiento de este indicador lo ubica en el rango de gestión de cumplimiento de la meta con una tendencia positiva, teniendo en cuenta que se está comportando de acuerdo con lo programado.</t>
  </si>
  <si>
    <t>El indicador "Viviendas terminadas del Programa de Vivienda Gratuita 1 y 2" es del PND 2014-2018 cuya medición presenta un rezago de 30 días, durante el mes de mayo de 2018 reporta que se terminaron 459 viviendas del Programa de Vivienda Gratuita 1 y 2;  para un total acumulado de 1.116 viviendas terminadas en la vigencia.
El comportamiento de este indicador lo ubica en el rango de gestión de cumplimiento de la meta con una tendencia positiva, teniendo en cuenta que se está comportando de acuerdo con lo programado.</t>
  </si>
  <si>
    <t>El indicador "Asistencia técnica para la formulación e implementación de proyectos de vivienda urbana" durante el mes de enero de 2018 no reporta avances en asistencias técnicas realizadas.</t>
  </si>
  <si>
    <t>El indicador "Asistencia técnica para la formulación e implementación de proyectos de vivienda urbana" durante el mes de febrero de 2018 reporta que se realizaron 64 asistencias técnicas para la formulación e implementación de proyectos de vivienda urbana en lo corrido de la vigencia. 
El comportamiento de este indicador lo ubica en el rango de gestión de cumplimiento de la meta con una tendencia positiva, teniendo en cuenta que se cumplió con la meta programada para la vigencia.</t>
  </si>
  <si>
    <t>El indicador "Asistencia técnica para la formulación e implementación de proyectos de vivienda urbana" durante el mes de marzo de 2018 reporta que se realizaron 70 asistencias técnicas para la formulación e implementación de proyectos de vivienda urbana, para un total acumulado de 134 asistencias técnicas realizadas en la vigencia.
El comportamiento de este indicador lo ubica en el rango de gestión de cumplimiento de la meta con una tendencia positiva, teniendo en cuenta que se cumplió con la meta programada para la vigencia.</t>
  </si>
  <si>
    <t>El indicador "Asistencia técnica para la formulación e implementación de proyectos de vivienda urbana" durante el mes de abril de 2018 reporta que se realizaron 138 asistencias técnicas para la formulación e implementación de proyectos de vivienda urbana, para un total acumulado de 272 asistencias técnicas realizadas en la vigencia.
El comportamiento de este indicador lo ubica en el rango de gestión de cumplimiento de la meta con una tendencia positiva, teniendo en cuenta que se cumplió con la meta programada para la vigencia.</t>
  </si>
  <si>
    <t>El indicador "Asistencia técnica para la formulación e implementación de proyectos de vivienda urbana" durante el mes de mayo de 2018 reporta que se realizaron 147 asistencias técnicas para la formulación e implementación de proyectos de vivienda urbana, para un total acumulado de 419 asistencias técnicas realizadas en la vigencia.
El comportamiento de este indicador lo ubica en el rango de gestión de cumplimiento de la meta con una tendencia positiva, teniendo en cuenta que se cumplió con la meta programada para la vigencia.</t>
  </si>
  <si>
    <t>El indicador "Subsidios asignados para Viviendas de interés social iniciadas en el Programa de promoción y acceso a vivienda de interés social - Mi Casa Ya" durante el mes de enero de 2018 reporta que se asignaron 985 subsidios para Viviendas de interés social iniciadas en el Programa de promoción y acceso a vivienda de interés social - Mi Casa Ya.
El comportamiento de este indicador lo ubica en el rango de gestión de cumplimiento de la meta con una tendencia positiva, teniendo en cuenta que se está comportando de acuerdo con lo programado que corresponde a 18.200 subsidios para la vigencia.</t>
  </si>
  <si>
    <t>El indicador "Subsidios asignados para Viviendas de interés social iniciadas en el Programa de promoción y acceso a vivienda de interés social - Mi Casa Ya" durante el mes de febrero de 2018 reporta que se asignaron 1.447 subsidios para Viviendas de interés social iniciadas en el Programa de promoción y acceso a vivienda de interés social - Mi Casa Ya, para un total acumulado de 2.432 subsidios asignados en la vigencia frente a la meta formulada de 18.200 subsidios. 
El comportamiento de este indicador lo ubica en el rango de gestión de cumplimiento de la meta con una tendencia positiva, teniendo en cuenta que se está comportando de acuerdo con lo programado.</t>
  </si>
  <si>
    <t>El indicador "Subsidios asignados para Viviendas de interés social iniciadas en el Programa de promoción y acceso a vivienda de interés social - Mi Casa Ya" durante el mes de marzo de 2018 reporta que se asignaron 1.750 subsidios para Viviendas de interés social iniciadas en el Programa de promoción y acceso a vivienda de interés social - Mi Casa Ya, para un total acumulado de 4.182 subsidios asignados en la vigencia frente a la meta formulada de 18.200 subsidios. 
El comportamiento de este indicador lo ubica en el rango de gestión de cumplimiento de la meta con una tendencia positiva, teniendo en cuenta que se está comportando de acuerdo con lo programado.</t>
  </si>
  <si>
    <t>El indicador "Subsidios asignados para Viviendas de interés social iniciadas en el Programa de promoción y acceso a vivienda de interés social - Mi Casa Ya" durante el mes de abril de 2018 reporta que se asignaron 1.983 subsidios para Viviendas de interés social iniciadas en el Programa de promoción y acceso a vivienda de interés social - Mi Casa Ya, para un total acumulado de 6.165 subsidios asignados en la vigencia frente a la meta formulada de 18.200 subsidios. 
El comportamiento de este indicador lo ubica en el rango de gestión de cumplimiento de la meta con una tendencia positiva, teniendo en cuenta que se está comportando de acuerdo con lo programado.</t>
  </si>
  <si>
    <t>El indicador "Subsidios asignados para Viviendas de interés social iniciadas en el Programa de promoción y acceso a vivienda de interés social - Mi Casa Ya" durante el mes de mayo de 2018 reporta que se asignaron 2.454 subsidios para Viviendas de interés social iniciadas en el Programa de promoción y acceso a vivienda de interés social - Mi Casa Ya, para un total acumulado de 8.619 subsidios asignados en la vigencia frente a la meta formulada de 18.200 subsidios. 
El comportamiento de este indicador lo ubica en el rango de gestión de cumplimiento de la meta con una tendencia positiva, teniendo en cuenta que se está comportando de acuerdo con lo programado.</t>
  </si>
  <si>
    <t>El indicador "Personas con acceso a agua potable" del PND 2014-2018 tiene reporte anual con rezago de 180 días acorde con lo establecido en su hoja de vida y se toma de la gran encuesta Integrada de Hogares - GEIH administrada por el DANE. La información reportada en el aplicativo SINERGIA, administrado por el DNP, así como en los planes estratégicos de la Entidad, corresponde a la vigencia 2017 y se hizo con base en la información remitida por el DNP a través de comunicación No. 20185740293741 del 7 de mayo de 2018. En dicha comunicación el DNP expone que realizó los cálculos para el año 2017, acorde con la fórmula descrita en la ficha técnica del indicador que se encuentra en Sinergia, arrojando para el 2017 un total de 514.581 nuevas personas y un acumulado para el período 2015-2017 de 1.818.683 nuevas personas. Es decir, que sumando la línea base el gran total es de 43.695.683 personas con acceso a agua potable.</t>
  </si>
  <si>
    <t>Millones</t>
  </si>
  <si>
    <t>El indicador "Personas con acceso a agua potable" para este mes no presenta avances. Sin embargo es preciso aclarar que este indicador reporta un acumulado para el cuatrienio de 43.181.102 personas con acceso a agua potable.</t>
  </si>
  <si>
    <t>El indicador "Personas con acceso a una solución de alcantarillado" del  PND 2014-2018 tiene reporte anual con rezago de 180 días acorde con lo establecido en su hoja de vida y se toma de la gran encuesta Integrada de Hogares - GEIH administrada por el DANE. Conforme a lo anterior, la información registrada a 2017 es de 490.086 nuevas personas para un acumulado para el período (2015-2017) de 2.289.345 Es decir, que sumando la línea base el gran total acumulado es de 41.758.345 personas con acceso a una solución de alcantarillado.</t>
  </si>
  <si>
    <t>El indicador "Personas con acceso a una solución de alcantarillado" para este mes no presenta avances. Sin embargo es preciso aclarar que este indicador reporta un acumulado para el cuatrienio de 41.268.259 personas con acceso a una solución de alcantarillado.</t>
  </si>
  <si>
    <t>El indicador "Porcentaje de aguas residuales urbanas tratadas" del PND 2014-2018 tiene reporte anual con rezago de 365 días, razón por la cual la última información registrada corresponde al año 2016. La fuente es la Superintendencia de Servicios Públicos Domiciliarios – SSPD.
Según información remitida por la SSPD a través de comunicación No. 20174230018051 del 30 de enero de 2017 para el año 2016 el caudal tratado para los centros urbanos del país fue de 26.6% m3/s, el caudal total vertido estimado fue de 62.9m3/s y el porcentaje de aguas residuales tratadas de 42.2%.</t>
  </si>
  <si>
    <t>El indicador "Personas con manejo adecuado de aguas residuales en la zona rural" del PND 2014-2018 tiene reporte anual con rezago de 180 días acorde con lo establecido en su hoja de vida y se toma de la GEIH administrada por el DANE.
La información reportada en el aplicativo SINERGIA, administrado por el DNP, así como en los planes estratégicos de la Entidad, corresponde a la vigencia 2016 y se hizo con base en la información remitida por el DNP a través de comunicación No. 20175740207091 del 5 de abril de 2017.
En dicha comunicación el DNP expone que realizó los cálculos para el año 2016, acorde con la fórmula descrita en la ficha técnica del indicador que se encuentra en Sinergia, arrojando para el 2016 un total de 291.430 nuevas personas y un acumulado para el período 2015-2016 de 562.933 nuevas personas. Es decir, que sumando la línea base el
gran total es de 7.931.358 personas con manejo adecuado de aguas residuales en la zona rural.</t>
  </si>
  <si>
    <t xml:space="preserve">El indicador "Personas con acceso a agua potable en la zona rural" del PND 2014-2018 tiene reporte anual con rezago de 180 días acorde con lo establecido en su hoja de vida y se toma de la GEIH administrada por el DANE. 
La información reportada en el aplicativo SINERGIA, administrado por el DNP, así como en los planes estratégicos de la Entidad, corresponde a la vigencia 2016 y se hizo con base en la información remitida por el DNP a través de comunicación No. 20175740207091 del 5 de abril de 2017.
En dicha comunicación el DNP expone que realizó los cálculos para el año 2016, acorde con la fórmula descrita en la ficha técnica del indicador que se encuentra en Sinergia, arrojando para el 2016 un total de 141.791 nuevas personas y un acumulado para el período 2015-2016 de 300.987 nuevas personas. Es decir, que sumando la línea base el gran total es de 8.238.283 personas con acceso a agua potable en la zona rural. </t>
  </si>
  <si>
    <t>El indicador "Municipios con acciones de reducción de riesgo por desabastecimiento en temporada seca ejecutadas" del PND 2014-2018 se reporta anualmente con un rezago de 60 días, razón por la cual el último reporte hace referencia a la vigencia 2016 donde se señala que hay 14 Municipios con acciones de reducción de riesgo por desabastecimiento en temporada seca ejecutadas.
Estos municipios son: Bucaramanga, Corozal, Guasca, Palmira, Pereira, Tunja, Útica, Riohacha, Uribía, Maicao, Manaure, Santa Marta, Buenaventura y Finlandia.</t>
  </si>
  <si>
    <t>El indicador "Estudios  y propuestas de nuevas disposiciones o modificaciones normativas o de politica del sector -APSB" para este mes no presenta avances. Sin embargo, es preciso aclarar que las activiaddes planeadas en el marco de este indicador darán inicio en el segundo trimestre de la vigencia.</t>
  </si>
  <si>
    <t>El indicador "Municipios asistidos técnicamente  en procesos de mejoramiento integral de barrios" para este mes no presenta avances. Sin embargo, es preciso aclarar que las activiaddes planeadas en el marco de este indicador darán inicio en el segundo trimestre de la vigencia.</t>
  </si>
  <si>
    <t>El indicador "Municipios asistidos técnicamente  en procesos de mejoramiento integral de barrios" arroja un resultado de 1 municipio atendido técnicamente en el mes de mayo, para un total acumulado de 8 municipios atendidos en el año, lo cual indica un comportamiento positivo del indicador ya que se va cumpliendo con el 72,72% de la meta establecida para la vigencia que corresponde a 11 municipios.
El municipio asistido técnicamente  en procesos de mejoramiento integral de barriosen en el mes de mayo es: 
1) Ibagué (Departamento del Tolima)</t>
  </si>
  <si>
    <t>El indicador "Municipios asistidos técnicamente  en procesos de mejoramiento integral de barrios" arroja un resultado de 7 municipios atendidos técnicamente en el mes de abril, para un total acumulado de 7 municipios atendidos en el año, lo cual indica un comportamiento positivo del indicador ya que se va cumpliendo con el 63,63% de la meta establecida para la vigencia que corresponde a 11 municipios.
Los municipios asistidos técnicamente  en procesos de mejoramiento integral de barrios a abril de 2018 son: 
1) Tunja (Departamento de Boyacá)
2) Hobo (Departamento del Huila)
3) Ciénaga (Departamento del Magdalena) 
4)  Guaviare (Departamento del Guaviare)
5) Candelaria (Departamento del Valle del Cauca)
6)  El Retorno (Departamento del Guaviare)
7) Calamar (Departamento del Guaviare)</t>
  </si>
  <si>
    <t>El indicador "Actuaciones Urbanas Integrales Evaluadas" arroja un resultado de 1 actuación urbana integral evaluada en el mes de mayo, para un total acumulado de 2 actuaciones urbanas en el año, lo cual indica un comportamiento positivo del indicador acorde con lo programado con un porcentaje de ejecución del 25%.
La actuación urbana integral evaluada al mes de mayo de 2018 es: Resolución No.0355 del 28-may-2018 Archivo MISN 2G VILLA DE LA ESPERANZA Funza-Cundinamarca.</t>
  </si>
  <si>
    <t>El indicador "Actuaciones Urbanas Integrales Evaluadas" arroja un resultado de 1 actuación urbana integral evaluada en el mes de abril, lo cual indica un comportamiento positivo del indicador acorde con lo programado con un porcentaje de ejecución del 12,5%.
La actuación urbana integral evaluada al mes de abril de 2018 es: Resolución No.0283 del 24-abr-2018 Archivo MISN 2G CIUDAD CENTRO Ibagué-Tolima.</t>
  </si>
  <si>
    <t>El indicador "Estudios y Propuestas normativas y de política orientadas a optimizar el marco normativo en materia de Vivienda de desarrollo urbano y territorial sostenible" para este mes no presenta avances. Sin embargo, es preciso aclarar que las actividades planeadas en el marco de este indicador darán inicio en el segundo trimestre de la vigencia.</t>
  </si>
  <si>
    <t>El indicador "Actuaciones Urbanas Integrales Evaluadas" para este mes no presenta avances. Sin embargo, es preciso aclarar que las actividades planeadas en el marco de este indicador darán inicio en el segundo trimestre de la vigencia.</t>
  </si>
  <si>
    <t>El indicador "Municipios asistidos técnicamente  en procesos de mejoramiento integral de barrios" para este mes no presenta avances. Sin embargo, es preciso aclarar que las actividades planeadas en el marco de este indicador darán inicio en el segundo trimestre de la vigencia.</t>
  </si>
  <si>
    <t>El indicador "Municipios Capacitados y/o apoyados técnicamente para la revisión de los planes de ordenamiento Territorial (POT)" arroja un resultado de 23 municipios capacitados y/o apoyados técnicamente en el mes de abril, para un total acumulado de 23 municipios capacitados y/o apoyados en el año, lo cual indica un comportamiento positivo del indicador acorde con lo programado cumpliendose con un 57,5% de la meta para la vigencia que correponde a 40 municipios.
Los días 26 y 27 de abril, se llevó a cabo una jornada de capacitación en temas de revisión y ajuste en la ciudad de Cúcuta, contando con la participación de delegados de las administraciones municipales de 23 municipios nuevos del departamento de Norte de Santander.</t>
  </si>
  <si>
    <t>El indicador "Municipios Capacitados y/o apoyados técnicamente para la revisión de los planes de ordenamiento Territorial -POT" para este mes no presenta avances. Sin embargo, es preciso aclarar que las actividades planeadas en el marco de este indicador darán inicio en el segundo trimestre de la vigencia.</t>
  </si>
  <si>
    <t>El indicador "Municipios capacitados en la elaboración del inventario de asentamientos en zonas de alto riesgo" para este mes no presenta avances. Sin embargo, es preciso aclarar que las actividades planeadas en el marco de este indicador darán inicio en el segundo trimestre de la vigencia.</t>
  </si>
  <si>
    <t>El indicador "Municipios Capacitados y/o apoyados técnicamente para la revisión de los planes de ordenamiento Territorial (POT)" arroja un resultado de 14 municipios capacitados y/o apoyados técnicamente en el mes de mayo, para un total acumulado de 37 municipios capacitados y/o apoyados en el año, lo cual indica un comportamiento positivo del indicador acorde con lo programado cumpliendose con un 92,5% de la meta para la vigencia que correponde a 40 municipios.
Los días 8 y 9 de mayo, se llevó a cabo una jornada de capacitación en temas de revisión y ajuste en la ciudad de Neiva, contando con la participación de 14 delegados de las administraciones municipales del departamento del Huila.</t>
  </si>
  <si>
    <t>El indicador "Entidades territoriales asistidas:
Para el Desarrollo del programa de Conexiones Intradomiciliarias -PCI de acuerdo con el Plan Nacional de Desarrollo" arroja una ejecución del 100% para el mes de febrero debido a que se asistieron técnicamente 2 entidades territoriales. Las asistencias desarrolladas se realizan por demanda y se han realizado en su totalidad. 
-Durante los días  19 y 20 de febrero de 2018 se efectuó la asistencia técnica al PAP-PDA del Meta mediante visita técnica a diferentes municipios del departamento en donde se pretende implementar el Programa de Conexiones Intradomiciliarias con recursos de Tasa Compensada.
-Durante los días 13, 14 y 23 de febrero, se brindó asistencia técnica desde el componente social a los Municipios de Soledad, Aracataca y Distrito de Riohacha, a través, de jornadas de capacitación en educación sanitaria, actividad contemplada del Plan de Gestión Social del Programa, cuyo objetivo es el de promover actividades de formación encaminadas a la sostenibilidad, empoderamiento y prácticas saludables, para el uso adecuado de los aparatos instalados, el cuidado, protección y uso racional del agua.
En términos acumulados este indicador hasta el mes de marzo presenta una ejecución del 100% ya que se ha asistido técnicamente a la totalidad de las 2 entidades territoriales que solicitaron asistencia durante la vigencia. 
El comportamiento de este indicador lo ubica en el rango de gestión de cumplimiento de la meta con una tendencia positiva, teniendo en cuenta que se le va dando cumplimiento del 100% a toda la demanda de asistencias técnicas requeridas por las estidades territoriales.</t>
  </si>
  <si>
    <t>El indicador "Entidades territoriales asistidas:
Para el Desarrollo del programa de Conexiones Intradomiciliarias -PCI de acuerdo con el Plan Nacional de Desarrollo" arroja una ejecución del 100% para el mes de marzo debido a que se asistió técnicamente 1 entidad territorial. Las asistencias desarrolladas se realizan por demanda y se han realizado en su totalidad. 
-Durante el mes de marzo de 2018, se efectuó el acompañamiento y asistencia técnica al PAP-PDA de Antioquia quienes están interesados en implementar el Programa de Conexiones Intradomiciliarias en el municipio de Vigía del Fuerte.
En términos acumulados este indicador hasta el mes de marzo presenta una ejecución del 100% ya que se ha asistido técnicamente a la totalidad de las 3 entidades territoriales que solicitaron asistencia durante la vigencia. 
El comportamiento de este indicador lo ubica en el rango de gestión de cumplimiento de la meta con una tendencia positiva, teniendo en cuenta que se le va dando cumplimiento del 100% a toda la demanda de asistencias técnicas requeridas por las estidades territoriales.</t>
  </si>
  <si>
    <t>El indicador "Municipios capacitados en la elaboración del inventario de asentamientos en zonas de alto riesgo" arroja un resultado de 23 municipios capacitados en el mes de abril, para un total acumulado de 23 municipios capacitados y/o apoyados en el año, lo cual indica un comportamiento positivo del indicador acorde con lo programado cumpliendose con un 57,5% de la meta para la vigencia que correponde a 40 municipios.
Los días 26 y 27 de abril, se llevó a cabo una jornada de capacitación en temas de revisión y ajuste en la ciudad de Cúcuta, contando con la participación de delegados de las administraciones municipales de 23 municipios nuevos del departamento de Norte de Santander.</t>
  </si>
  <si>
    <t>El indicador "Municipios capacitados en la elaboración del inventario de asentamientos en zonas de alto riesgo" arroja un resultado de 14 municipios capacitados en el mes de mayo, para un total acumulado de 37 municipios capacitados y/o apoyados en el año, lo cual indica un comportamiento positivo del indicador acorde con lo programado cumpliendose con un 92,5% de la meta para la vigencia que correponde a 40 municipios.
Los días 8 y 9 de mayo, se llevó a cabo una jornada de capacitación en temas de revisión y ajuste en la ciudad de Neiva, contando con la participación de 14 delegados de las administraciones municipales del departamento del Huila.</t>
  </si>
  <si>
    <t>El indicador "Municipios capacitados en la incorporación de la gestión del riesgo en la revisión de sus POT" arroja un resultado de 23 municipios capacitados en el mes de abril, para un total acumulado de 23 municipios capacitados y/o apoyados en el año, lo cual indica un comportamiento positivo del indicador acorde con lo programado cumpliendose con un 57,5% de la meta para la vigencia que correponde a 40 municipios.
Los días 26 y 27 de abril, se llevó a cabo una jornada de capacitación en temas de revisión y ajuste en la ciudad de Cúcuta, contando con la participación de delegados de las administraciones municipales de 23 municipios nuevos del departamento de Norte de Santander.</t>
  </si>
  <si>
    <t>El indicador "Municipios capacitados en la incorporación de la gestión del riesgo en la revisión de sus POT " para este mes no presenta avances. Sin embargo, es preciso aclarar que las actividades planeadas en el marco de este indicador darán inicio en el segundo trimestre de la vigencia.</t>
  </si>
  <si>
    <t>El indicador "Municipios capacitados en la incorporación de la gestión del riesgo en la revisión de sus POT" arroja un resultado de 13 municipios capacitados en el mes de mayo, para un total acumulado de 36 municipios capacitados y/o apoyados en el año, lo cual indica un comportamiento positivo del indicador acorde con lo programado cumpliendose con un 90% de la meta para la vigencia que correponde a 40 municipios.
Los días 8 y 9 de mayo, se llevó a cabo una jornada de capacitación en la ciudad de Neiva, en temas relacionados con la Incorporación de la gestión del riesgo, contando con la participación de delegados de 13 administraciones municipales del departamento del Huila.</t>
  </si>
  <si>
    <t>El indicador "Proyectos Viabilizados" arroja una ejecución del 93,75% con corte al mes de marzo debido a que se viabilizaron 15 proyectos de los  16 que se llevaron a comité técnico.
Este resultado demuestra que se debe fortalecer el trabajo de asistencia técnica con los entes territoriales para que la evaluación de proyectos sido efectiva para el cumplimiento de los requisitos del procesos de evaluación.
El comportamiento de este indicador lo ubica en el rango de gestión de cumplimiento de la meta con una tendencia positiva, teniendo en cuenta que se va cumpliendo de acuerdo a lo programado.</t>
  </si>
  <si>
    <t>El indicador "Conceptos Aprobados " arroja una ejecución del 85,71% con corte al mes de marzo debido a que se aprobaron 18 conceptos de los 21 presentados en comité técnico.
El comportamiento de este indicador lo ubica en el rango de gestión de cumplimiento de la meta con una tendencia positiva, teniendo en cuenta que se va cumpliendo de acuerdo a lo programado.</t>
  </si>
  <si>
    <t>Teniendo en cuenta su periodicidad, el indicador "Conceptos Aprobados" volverá a presentar ejecución en el próximo trimestre de la vigencia; sin embargo, su comportamiento va de acuerdo a lo programado para la vigencia.</t>
  </si>
  <si>
    <t>Teniendo en cuenta su periodicidad, el indicador "Proyectos Viabilizados" volverá a presentar ejecución en el próximo trimestre de la vigencia; sin embargo, su comportamiento va de acuerdo a lo programado para la vigencia.</t>
  </si>
  <si>
    <t>El indicador "Porcentaje de Municipios que tratan adecuadamente los Residuos Sólidos" del PND 2014-2018 tiene reporte anual con rezago de 90 días acorde con lo establecido en su hoja de vida y la fuente es la Superintendencia de Servicios Públicos Domiciliarios – SSPD; entidad que anualmente elabora el “Informe Nacional de Disposición Final de Residuos Sólidos”.
La información reportada en el aplicativo SINERGIA, administrado por el DNP, así como en los planes estratégicos de la Entidad, corresponde a la vigencia 2015 con 87.65% de Municipios que tratan adecuadamente los Residuos Sólidos.</t>
  </si>
  <si>
    <t xml:space="preserve">El indicador "PDA con planes de aseguramiento en implementación" del PND 2014-2018 es un indicador acumulativo y se reporta semestralmente con un rezago de 30 días, razón por la cual el último reporte en SINERGIA hace referencia a la vigencia 2017, con un acumulado de 29 planes de aseguramiento en implementación, frente a una meta establecida en el Plan Nacional de Desarrollo hasta a la vigencia 2018 de 32 planes.
No se presenta porcentaje de ejecución para el presente trimestre, dado que el primer reporte de información de PDA con planes de aseguramiento en implementación, se programó para el tercer trimestre de la vigencia 2018.
 </t>
  </si>
  <si>
    <t>El indicador "PDA con planes de aseguramiento en implementación" del PND 2014-2018 es un indicador acumulativo y se reporta semestralmente con un rezago de 30 días, razón por la cual el último reporte en SINERGIA hace referencia a la vigencia 2017, con un acumulado de 29 planes de aseguramiento en implementación, frente a una meta establecida en el Plan Nacional de Desarrollo hasta a la vigencia 2018 de 32 planes.
No se presenta porcentaje de ejecución para el presente trimestre, dado que el primer reporte de información de PDA con planes de aseguramiento en implementación, se programó para el tercer trimestre de la vig</t>
  </si>
  <si>
    <t>Teniendo en cuenta su periodicidad, el indicador "Asistencias técnicas realizadas" volverá a presentar ejecución en el próximo trimestre de la vigencia; sin embargo, su comportamiento va de acuerdo a lo programado para la vigencia.</t>
  </si>
  <si>
    <t>Las actividades en el marco del este indicador "Porcentaje de avance del Programa de Gestión Documental elaborado e implementado" están programadas a partir del segundo semestre del año.</t>
  </si>
  <si>
    <t>Las actividades en el marco del este indicador "Intervención del Archivo del archivo central ubicado en la Sede la Fragua del MVCT" están programadas a partir del segundo semestre del año.</t>
  </si>
  <si>
    <t>El indicador "Estado de atención de Peticiones, Quejas, Reclamos y Sugerencias -PQRS" arroja una ejecución del 80,75% para el mes de enero debido a que las PQRS tramitadas fueron 2.576 y las recibidas 3.190.
El comportamiento de este indicador lo ubica en el rango de gestión de cumplimiento de la meta con una tendencia positiva, teniendo en cuenta que la ejecución a la fecha está acorde a lo programado.</t>
  </si>
  <si>
    <t>El indicador "Estado de atención de Peticiones, Quejas, Reclamos y Sugerencias -PQRS" arroja una ejecución del 80,81% para el mes de febrero debido a que las PQRS tramitadas fueron 3.503 y las recibidas 4.335.
En términos acumulados este indicador hasta el mes de junio presenta una ejecución del 80,78% ya que el total de PQRS tramitadas es de 6.079 y el total de PQRS recibidas es de 7.525 durante el año.
El comportamiento de este indicador lo ubica en el rango de gestión de cumplimiento de la meta con una tendencia positiva, teniendo en cuenta que la ejecución a la fecha está acorde a lo programado.</t>
  </si>
  <si>
    <t>El indicador "Estado de atención de Peticiones, Quejas, Reclamos y Sugerencias -PQRS" arroja una ejecución del 83,08% para el mes de marzo debido a que las PQRS tramitadas fueron 2.883 y las recibidas 3.470.
En términos acumulados este indicador hasta el mes de junio presenta una ejecución del 81,51% ya que el total de PQRS tramitadas es de 8.962 y el total de PQRS recibidas es de 10.995 durante el año.
El comportamiento de este indicador lo ubica en el rango de gestión de cumplimiento de la meta con una tendencia positiva, teniendo en cuenta que la ejecución a la fecha está acorde a lo programado.</t>
  </si>
  <si>
    <t>El indicador "Estado de atención de Peticiones, Quejas, Reclamos y Sugerencias -PQRS" arroja una ejecución del 94,43% para el mes de abril debido a que las PQRS tramitadas fueron 4.019 y las recibidas 4.256.
En términos acumulados este indicador hasta el mes de junio presenta una ejecución del 85,12% ya que el total de PQRS tramitadas es de 12.981 y el total de PQRS recibidas es de 15.251 durante el año.
El comportamiento de este indicador lo ubica en el rango de gestión de cumplimiento de la meta con una tendencia positiva, teniendo en cuenta que la ejecución a la fecha está acorde a lo programado.</t>
  </si>
  <si>
    <t>El indicador "Estado de atención de Peticiones, Quejas, Reclamos y Sugerencias -PQRS" arroja una ejecución del 94,35% para el mes de mayo debido a que las PQRS tramitadas fueron 3.860 y las recibidas 4.091.
En términos acumulados este indicador hasta el mes de junio presenta una ejecución del 87,07% ya que el total de PQRS tramitadas es de 16.841 y el total de PQRS recibidas es de 19.342 durante el año.
El comportamiento de este indicador lo ubica en el rango de gestión de cumplimiento de la meta con una tendencia positiva, teniendo en cuenta que la ejecución a la fecha está acorde a lo programado.</t>
  </si>
  <si>
    <t>El indicador "Satisfacción del usuario en la atención personalizada " arroja una ejecución del 47,06% para el mes de enero debido a que hubo 16 ususrios satisfechos en la atención personalizada de los 34 usurios atendidos durante el mes.
El comportamiento de este indicador lo ubica en el rango de gestión de cumplimiento de la meta con una tendencia positiva, teniendo en cuenta que la ejecución a la fecha está acorde a lo programado.</t>
  </si>
  <si>
    <t>El indicador "Satisfacción del usuario en la atención personalizada " arroja una ejecución del 35,71% para el mes de febrero debido a que hubo 15 ususrios satisfechos en la atención personalizada de los 342 usurios atendidos durante el mes.
En términos acumulados este indicador hasta el mes de febrero presenta una ejecución del 40,79% ya que  hubo 31 ususrios satisfechos en la atención personalizada de los 76 usurios  atendidos durante el año.
El comportamiento de este indicador lo ubica en el rango de gestión de cumplimiento de la meta con una tendencia positiva, teniendo en cuenta que la ejecución a la fecha está acorde a lo programado.</t>
  </si>
  <si>
    <t>El indicador "Satisfacción del usuario en la atención personalizada " arroja una ejecución del 71,43% para el mes de marzo debido a que hubo 20 ususrios satisfechos en la atención personalizada de los 28 usurios atendidos durante el mes.
En términos acumulados este indicador hasta el mes de marzo presenta una ejecución del 49,04% ya que  hubo 51 ususrios satisfechos en la atención personalizada de los 104 usurios  atendidos durante el año.
El comportamiento de este indicador lo ubica en el rango de gestión de cumplimiento de la meta con una tendencia positiva, teniendo en cuenta que la ejecución a la fecha está acorde a lo programado.</t>
  </si>
  <si>
    <t>El indicador "Satisfacción del usuario en la atención personalizada " arroja una ejecución del 84,91% para el mes de abril debido a que hubo 45 ususrios satisfechos en la atención personalizada de los 53 usurios atendidos durante el mes.
En términos acumulados este indicador hasta el mes de abril presenta una ejecución del 61,15% ya que  hubo 96 ususrios satisfechos en la atención personalizada de los 157 usurios  atendidos durante el año.
El comportamiento de este indicador lo ubica en el rango de gestión de cumplimiento de la meta con una tendencia positiva, teniendo en cuenta que la ejecución a la fecha está acorde a lo programado.</t>
  </si>
  <si>
    <t>El indicador "Satisfacción del usuario en la atención personalizada " arroja una ejecución del 72,73% para el mes de mayo debido a que hubo 8 ususrios satisfechos en la atención personalizada de los 11 usurios atendidos durante el mes.
En términos acumulados este indicador hasta el mes de mayo presenta una ejecución del 61,90% ya que  hubo 104 ususrios satisfechos en la atención personalizada de los 168 usurios  atendidos durante el año.
El comportamiento de este indicador lo ubica en el rango de gestión de cumplimiento de la meta con una tendencia positiva, teniendo en cuenta que la ejecución a la fecha está acorde a lo programado.</t>
  </si>
  <si>
    <t>El indicador "Tiempo promedio en la respuesta a los derechos de petición" establece que en el mes de enero el tiempo promedio en la respuesta a los 2.763 derechos de petición tramitados durante el mes fué de 3,63 días; lo cual indica un comportamiento positivo del indicador al situarse por debajo del plazo máximo de 8 días establecidos como meta del indicador. Este tiempo se encuentren dentro de los términos legales de respuesta.</t>
  </si>
  <si>
    <t>El indicador "Tiempo promedio en la respuesta a los derechos de petición" establece que en el mes de febrero el tiempo promedio en la respuesta a los 3.661 derechos de petición tramitados durante el mes fué de 1,92 días; lo cual indica un comportamiento positivo del indicador al situarse por debajo del plazo máximo de 8 días establecidos como meta del indicador. Este tiempo se encuentren dentro de los términos legales de respuesta.
En términos acumulados este indicador establece que el tiempo promedio en la respuesta a los 6.424 derechos de petición tramitados durante lo corrido de la vigencia  fué de 2,66 días; lo cual indica un comportamiento positivo del indicador al situarse por debajo del plazo máximo de 8 días establecidos como meta del indicador. Este tiempo se encuentren dentro de los términos legales de respuesta.</t>
  </si>
  <si>
    <t>El indicador "Tiempo promedio en la respuesta a los derechos de petición" establece que en el mes de abril el tiempo promedio en la respuesta a los 4.229 derechos de petición tramitados durante el mes fué de 1,09 días; lo cual indica un comportamiento positivo del indicador al situarse por debajo del plazo máximo de 8 días establecidos como meta del indicador. Este tiempo se encuentren dentro de los términos legales de respuesta.
En términos acumulados este indicador establece que el tiempo promedio en la respuesta a los 9.274 derechos de petición tramitados durante lo corrido de la vigencia  fué de 2,23 días; lo cual indica un comportamiento positivo del indicador al situarse por debajo del plazo máximo de 8 días establecidos como meta del indicador. Este tiempo se encuentren dentro de los términos legales de respuesta.</t>
  </si>
  <si>
    <t>El indicador "Tiempo promedio en la respuesta a los derechos de petición" establece que en el mes de marzo el tiempo promedio en la respuesta a los 2.850 derechos de petición tramitados durante el mes fué de 2,96 días; lo cual indica un comportamiento positivo del indicador al situarse por debajo del plazo máximo de 8 días establecidos como meta del indicador. Este tiempo se encuentren dentro de los términos legales de respuesta.
En términos acumulados este indicador establece que el tiempo promedio en la respuesta a los 13.503 derechos de petición tramitados durante lo corrido de la vigencia  fué de 2,75 días; lo cual indica un comportamiento positivo del indicador al situarse por debajo del plazo máximo de 8 días establecidos como meta del indicador. Este tiempo se encuentren dentro de los términos legales de respuesta.</t>
  </si>
  <si>
    <t>El indicador "Tiempo promedio en la respuesta a los derechos de petición" establece que en el mes de mayo el tiempo promedio en la respuesta a los 4.243 derechos de petición tramitados durante el mes fué de 1,57 días; lo cual indica un comportamiento positivo del indicador al situarse por debajo del plazo máximo de 8 días establecidos como meta del indicador. Este tiempo se encuentren dentro de los términos legales de respuesta.
En términos acumulados este indicador establece que el tiempo promedio en la respuesta a los 17.746 derechos de petición tramitados durante lo corrido de la vigencia  fué de 2,07 días; lo cual indica un comportamiento positivo del indicador al situarse por debajo del plazo máximo de 8 días establecidos como meta del indicador. Este tiempo se encuentren dentro de los términos legales de respuesta.</t>
  </si>
  <si>
    <t>El indicador "Facilitar el acceso a un documento o grupo de documentos con el fin de garantizar el derecho que tienen los usuarios para acceder a la información contenida en los archivos públicos propendiendo por la disminución de tiempos de atención" arroja una ejecución en el mes de febrero del 100% debido a que se atendieron las 224 solicitudes de consulta y préstamos dentro de los tiempos establecidos por ley.
El comportamiento de este indicador lo ubica en el rango de gestión de cumplimiento de la meta con una tendencia positiva, teniendo en cuenta que la ejecución a la fecha está acorde a lo programado.</t>
  </si>
  <si>
    <t>El indicador "Facilitar el acceso a un documento o grupo de documentos con el fin de garantizar el derecho que tienen los usuarios para acceder a la información contenida en los archivos públicos propendiendo por la disminución de tiempos de atención" arroja una ejecución en el mes de marzo del 100% debido a que se atendieron las 157 solicitudes de consulta y préstamos dentro de los tiempos establecidos por ley.
En términos acumulados para la vigencia este indicador también reporta un 100% de ejecución ya que se atendieron las 381 solicitudes de consulta y préstamos dentro de los tiempos establecidos por ley.
El comportamiento de este indicador lo ubica en el rango de gestión de cumplimiento de la meta con una tendencia positiva, teniendo en cuenta que la ejecución a la fecha está acorde a lo programado.</t>
  </si>
  <si>
    <t>El indicador "Facilitar el acceso a un documento o grupo de documentos con el fin de garantizar el derecho que tienen los usuarios para acceder a la información contenida en los archivos públicos propendiendo por la disminución de tiempos de atención" arroja una ejecución en el mes de abril del 100% debido a que se atendieron las 172 solicitudes de consulta y préstamos dentro de los tiempos establecidos por ley.
En términos acumulados para la vigencia este indicador también reporta un 100% de ejecución ya que se atendieron las 553 solicitudes de consulta y préstamos dentro de los tiempos establecidos por ley.
El comportamiento de este indicador lo ubica en el rango de gestión de cumplimiento de la meta con una tendencia positiva, teniendo en cuenta que la ejecución a la fecha está acorde a lo programado.</t>
  </si>
  <si>
    <t>El indicador "Facilitar el acceso a un documento o grupo de documentos con el fin de garantizar el derecho que tienen los usuarios para acceder a la información contenida en los archivos públicos propendiendo por la disminución de tiempos de atención" arroja una ejecución en el mes de mayo del 100% debido a que se atendieron las 294 solicitudes de consulta y préstamos dentro de los tiempos establecidos por ley.
En términos acumulados para la vigencia este indicador también reporta un 100% de ejecución ya que se atendieron las 847 solicitudes de consulta y préstamos dentro de los tiempos establecidos por ley.
El comportamiento de este indicador lo ubica en el rango de gestión de cumplimiento de la meta con una tendencia positiva, teniendo en cuenta que la ejecución a la fecha está acorde a lo programado.</t>
  </si>
  <si>
    <t xml:space="preserve">   El indicador "Representación legal del Ministerio de vivienda,Ciudad y Territorio y el Fondo Nacional de Vivienda" se empezará a ejecutar en el mes de abril de la presente vigencia.</t>
  </si>
  <si>
    <t xml:space="preserve">      El indicador "Representación legal del Ministerio de vivienda,Ciudad y Territorio y el Fondo Nacional de Vivienda" durante el mes de abril de 2018 reporta que se atendieron oportunamente 356 tutelas y procesos interpuestos que correponden a la totalidad recibida. Por tanto la meta reporta un avance del 100%. Lo anterior ubica en el rango de gestión de cumplimiento de la meta  en sobresaliente, que indica que tiene una tendencia positiva.</t>
  </si>
  <si>
    <t xml:space="preserve">      El indicador "Representación legal del Ministerio de vivienda,Ciudad y Territorio y el Fondo Nacional de Vivienda" durante el mes de mayo de 2018 reporta que se atendieron oportunamente 306 tutelas y procesos interpuestos que correponden a la totalidad recibida, para un acumulado en la vigencia de 662  tutelas y procesos atendidos oportunamente. Por tanto la meta reporta un avance del 100%. Lo anterior ubica en el rango de gestión de cumplimiento de la meta  en sobresaliente, que indica que tiene una tendencia positiva.</t>
  </si>
  <si>
    <t>El indicador "Viviendas de interés social iniciadas en el Programa de promoción y acceso a vivienda de interés social - Mi Casa Ya" es del PND 2014-2018 cuya medición presenta un rezago de 30 días, durante el mes de enero de 2018 reporta que se iniciaron 5.821 viviendas de interés social en el Programa de promoción y acceso a vivienda de interés social - Mi Casa Ya.
El comportamiento de este indicador lo ubica en el rango de gestión de cumplimiento de la meta con una tendencia positiva, teniendo en cuenta que se está comportando de acuerdo con lo programado.</t>
  </si>
  <si>
    <t>El indicador "Viviendas de interés social iniciadas en el Programa de promoción y acceso a vivienda de interés social - Mi Casa Ya" es del PND 2014-2018 cuya medición presenta un rezago de 30 días, durante el mes de febrero de 2018 reporta que se iniciaron 7.845 viviendas de interés social en el Programa de promoción y acceso a vivienda de interés social - Mi Casa Ya;  para un total acumulado de 13.666 viviendas en la vigencia.
El comportamiento de este indicador lo ubica en el rango de gestión de cumplimiento de la meta con una tendencia positiva, teniendo en cuenta que se está comportando de acuerdo con lo programado.</t>
  </si>
  <si>
    <t>El indicador "Viviendas de interés social iniciadas en el Programa de promoción y acceso a vivienda de interés social - Mi Casa Ya" es del PND 2014-2018 cuya medición presenta un rezago de 30 días, durante el mes de marzo de 2018 reporta que se iniciaron 7.440 viviendas de interés social en el Programa de promoción y acceso a vivienda de interés social - Mi Casa Ya;  para un total acumulado de 21.106 viviendas en la vigencia.
Durante el mes de marzo de 2018 se habilitaron 7.440 en 28 departamentos del país como son: Antioquia, Arauca, Atlántico, Bogotá, Bolívar, Boyacá, Caldas, Caquetá, Casanare, Cauca, Cesar, Córdoba, Cundinamarca, Guaviare, Huila, La Guajira, Magdalena, Meta, Nariño, Norte de Santander, Putumayo, Quindío, Risaralda, Santander, Sucre, Tolima y Valle del Cauca, para un acumulado 21.106 hogares habilitados. 
El comportamiento de este indicador lo ubica en el rango de gestión de cumplimiento de la meta con una tendencia positiva, teniendo en cuenta que se está comportando de acuerdo con lo programado.</t>
  </si>
  <si>
    <t>El indicador "Viviendas de interés social iniciadas en el Programa de promoción y acceso a vivienda de interés social - Mi Casa Ya" es del PND 2014-2018 cuya medición presenta un rezago de 30 días, durante el mes de abril de 2018 reporta que se iniciaron 7.689 viviendas de interés social en el Programa de promoción y acceso a vivienda de interés social - Mi Casa Ya;  para un total acumulado de 28.795 viviendas en la vigencia.
Durante el mes de abril se habilitaron 7.689 en 28 departamentos del país como son: Antioquia, Arauca, Atlántico, Bogotá, Bolívar, Boyacá, Caldas, Caquetá, Casanare, Cauca, Cesar, Córdoba, Cundinamarca, Guaviare, Huila, La Guajira, Magdalena, Meta, Nariño, Norte de Santander, Putumayo, Quindío, Risaralda, Santander, Sucre, Tolima y Valle del Cauca, para un acumulado 28.795  hogares habilitados. 
El comportamiento de este indicador lo ubica en el rango de gestión de cumplimiento de la meta con una tendencia positiva, teniendo en cuenta que se está comportando de acuerdo con lo programado.</t>
  </si>
  <si>
    <t>Ejecución a Junio de 2018</t>
  </si>
  <si>
    <t xml:space="preserve">      El indicador "Acercamiento del Ministro con la comunidad para hacer seguimiento a los proyectos de vivienda, agua potable y saneamiento básico ejecutados, en ejecución y por ejecutar en el territorio nacional" arroja un resultado de 6 eventos con la comunidad en el mes de junio, para un total acumulado de 36 eventos en el año,lo cual indica un comportamiento positivo acorde con los 50 eventos programados para la vigencia. 
Los 6 eventos que se realizaron en el periodo comprendido entre el 1 y el 30 de junio de 2018, fueron: entrega de viviendas y escrituras, sorteo de viviendas, visita proyecto de vivienda. 
Dichos eventos se realizaron en  6  municipios, en 3 departamentos: Santander (Piedecuesta), Bolívar (Clemencia), Cundinamarca (Anapoima, Paratebueno, Medina, Bogotá).
En términos acumulados durante la vigencia se han realizado 36 eventos de acercamiento del minsiterio con la comunidad en 11 departamentos y 22 municipios. 
1.Cundinamarca: Bogotá, Soacha, Agua de Dios, Anapoima, Paratebueno y Medina.
2.Bolívar: Cartagena, Mómpos y Clemencia
3.Huila: Neiva
4.Magdalena: Santa Marta
5.Atlántico: Barranquilla, Tubará
6.Valle del Cauca: Palmira, Cali y Candelaria
7.Putumayo: Mocoa
8.Santander: Piedecuesta
9.Tolima: Ibagué y Piedras
10.Caldas: Manizales
11.Meta: Granada
Lo anterior indica un 72% de ejecución de la meta programada para el año que corresponde a 50 eventos.</t>
  </si>
  <si>
    <t xml:space="preserve">   El indicador "Consolidación de conceptos a proyectos de ley en primer debate que afectan las políticas del Ministerio" arroja un resultado de 93,33% hasta el mes de junio.
Del total proyectos de ley en seguimiento durante este periodo legislativo (2017-2018), se tuvieron 60 iniciativas, las cuales tocan materias de este Ministerio. Por tal  razón, se inició una labor de seguimiento que busca la elaboración de los conceptos a ser tenidos en cuenta por los Congresistas dentro del debate de los mismos.  Así las cosas, se han aportado, por diferentes medios, los insumos pertinentes para forjar una postura institucional en busca de ajustar dichos proyectos a las políticas que esta Cartera encabeza en 56 de los 60 proyectos  en seguimiento, en su mayoría acogidos por el honorable Congreso de la República.
Lo anterior ubica al indicador en un rango de gestión de cumplimiento de la meta sobresaliente, que indica que tiene una tendencia positiva.
Por tal razón se cumplió en un 100% la meta fijada para la vigencia 2018 del 80%.</t>
  </si>
  <si>
    <t xml:space="preserve">      El indicador "Porcentaje de solicitudes atendidas Por la Oficina Asesora Jurídica" durante el mes de mayo de 2018 reporta que se atendieron oportunamente 54 consultas y reclamaciones interpuestas que correponden a la totalidad recibida, para un acumulado en la vigencia de 269 consultas y reclamaciones atendidas oportunamente. Por tanto la meta reporta un avance del 100%. Lo anterior ubica en el rango de gestión de cumplimiento de la meta  en sobresaliente, que indica que tiene una tendencia positiva.</t>
  </si>
  <si>
    <t xml:space="preserve">      El indicador "Representación legal del Ministerio de vivienda,Ciudad y Territorio y el Fondo Nacional de Vivienda" durante el mes de junio de 2018 reporta que se atendieron oportunamente 227 tutelas y procesos interpuestos que correponden a la totalidad recibida, para un acumulado en la vigencia de 889 tutelas y procesos atendidos oportunamente. Por tanto la meta reporta un avance del 100%. Lo anterior ubica en el rango de gestión de cumplimiento de la meta  en sobresaliente, que indica que tiene una tendencia positiva.</t>
  </si>
  <si>
    <t xml:space="preserve">      El indicador "Porcentaje de solicitudes atendidas Por la Oficina Asesora Jurídica" durante el mes de junio de 2018 reporta que se atendieron oportunamente 55 consultas y reclamaciones interpuestas que correponden a la totalidad recibida, para un acumulado en la vigencia de 324 consultas y reclamaciones atendidas oportunamente. Por tanto la meta reporta un avance del 100%. Lo anterior ubica en el rango de gestión de cumplimiento de la meta  en sobresaliente, que indica que tiene una tendencia positiva.
De las 55 consultas ingresadas,se observó que 3 de ellas tienen entre 53 y hasta 65 días entre la radicación en el MVCT y la OAJ (IDOAJ: 4511, 4523, 4524), lo que puede derivar en posibles acciones de tutela por la no respuesta oportunda en término de las consultas, generando un riesgo para la OAJ.
</t>
  </si>
  <si>
    <t>El indicador "Municipios con acciones de reducción de riesgo por desabastecimiento en temporada seca ejecutadas" del PND 2014-2018 se reporta semestral con un rezago de 60 días, razón por la cual el último reporte hace referencia a la vigencia 2017 donde se señala que hay 7 Municipios con acciones de reducción de riesgo por desabastecimiento en temporada seca ejecutadas.
Estos municipios son 2017:  Nariño, Vichada, Boyacá, Caldas, Cundinamarca, Antioquia, Valle del Cauca.
En términos acumulados los 21 municipios son: Bucaramanga, Corozal, Guasca, Palmira, Pereira, Tunja, Útica, Riohacha, Uribía, Maicao, Manaure, Santa Marta, Buenaventura, Finlandia, Nariño, Vichada, Boyacá, Caldas, Cundinamarca, Antioquia y Valle del Cauca.</t>
  </si>
  <si>
    <t xml:space="preserve">      El indicador "Cumplimiento de las actividades del Programa anual de auditoría" durante el mes de junio de 2018 reporta una ejecución del 100% debido a que se realizaron 12 actividades del Programa Anual de Auditoría de las 12 programadas en este periodo.
En términos acumulados para la vigencia el porcentaje de ejecución es del 54,81% debido a que se han realizado171 actividades de las 312 programadas para el año en el Programa anual de auditoría. Este plan estructura las actividades de la Oficina de Control Interno en 5 roles establecidos en el marco del Decreto 648 de 2017.
1. Rol Liderazgo Estratégico.
2. Rol Enfoque hacia la Prevención. 
3. Rol de Evaluación de Gestión del Riesgo. 
4. Rol de Evaluación y Seguimiento. 
5. Rol Relación Entes Externo de Control. 
Lo anterior ubica el rango de gestión de cumplimiento de la meta  en sobresaliente, que indica que tiene una tendencia positiva.</t>
  </si>
  <si>
    <t>El indicador "CDP´s y RP´s Expedidos" durante el periodo comprendido entre el 1 y el 30 de junio de 2018, registra en los sistemas de información un total de 81 CDP´S y 201 RP´S, para un total de 282, cumpliendo con la totalidad de la expedición de los Certificados de Disponibilidad Presupuestal y Registros Presupuestales correctamente solicitados. Por otro lado, el acumulado en la vigencia es de 3.135 Certificados de Disponibilidad Presupuestal y Registros Presupuestales correctamente solicitados. Por tanto la meta reporta un avance del 100%. Lo anterior ubica en el rango de gestión de cumplimiento de la meta  en sobresaliente, que indica que tiene una tendencia positiva.</t>
  </si>
  <si>
    <t>El indicador "Informes de Estados Financieros" durante el mes de junio de 2018 presentó un (1) informe de estados financieros a la Contaduría General de la Nación, tanto del Ministerio como de FONVIVIENDA, alcanzando un 50% en la meta para la vigencia, para un total acumulado de 2 informes de estados financieros presentados. Lo anterior, ubica al indicador en un rango de gestión de cumplimiento de la meta en sobresaliente, que indica que tiene una tendencia positiva.</t>
  </si>
  <si>
    <t>El indicador "Porcentaje de PAC Ejecutado" arroja una ejecución del 93.75% para el mes de junio debido a que el PAC ejecutado para este periodo fue de $168.456.658.135,8 y el PAC solicitado fué de $179.692.368.431,18.
En términos acumulados este indicador presenta una ejecución del 95,03% ya que se tiene un PAC ejecutado de $949.515.035.337 y un PAC solicitado para la vigencia de $999.147.709.628.
El comportamiento de este indicador lo ubica en el rango de gestión de cumplimiento de la meta con una tendencia positiva, teniendo en cuenta que las ejecuciones del PAC a la fecha están acordes a lo programado.</t>
  </si>
  <si>
    <t>El indicador "Tiempo promedio en le pago de las obligaciones del MVCT" durante el mes de junio de 2018 cumplió a cabalidad con el pago establecido para cada una de las obligaciones  generando un promedio de 3,47 días, para un total acumulado en el tiempo promedio de pago de las obligaciones del ministerio de 3,62 días. Lo anterior ubica el rango de gestión de cumplimiento de la meta en sobresaliente, que indica que tiene una tendencia positiva ya que la meta establecida es de 8 días promedio.</t>
  </si>
  <si>
    <t>El indicador "Porcentaje de Municipios que tratan adecuadamente los Residuos Sólidos" del PND 2014-2018 tiene reporte anual con rezago de 90 días acorde con lo establecido en su hoja de vida y la fuente es la Superintendencia de Servicios Públicos Domiciliarios – SSPD; entidad que anualmente elabora el “Informe Nacional de Disposición Final de Residuos Sólidos”.
La información reportada en el aplicativo SINERGIA, administrado por el DNP, así como en los planes estratégicos de la Entidad, corresponde a la vigencia 2016 con 82,21% de Municipios que tratan adecuadamente los Residuos Sólidos.</t>
  </si>
  <si>
    <t>El indicador "PDA con planes de aseguramiento en implementación" del PND 2014-2018 es un indicador acumulativo y se reporta semestralmente con un rezago de 30 días, razón por la cual el último reporte en SINERGIA hace referencia a la vigencia 2017, con un acumulado de 29 planes de aseguramiento en implementación, frente a una meta establecida en el Plan Nacional de Desarrollo hasta a la vigencia 2018 de 32 planes.
No se presenta porcentaje de ejecución para el presente trimestre, dado que el primer reporte de información de PDA con planes de aseguramiento en implementación, se programó para el tercer trimestre de la vigencia.</t>
  </si>
  <si>
    <t>El indicador "Cumplimiento cronograma actividades de sensibilización" durante el mes de junio de 2018 reporta que se realizó una actividad de sensibilización, para un total acumulado de 2 actividades de sensibilización en la vigencia:
Actividad No. 1 Primer CONCURSO EN CONOCIMIENTOS EN DERECHO DISCIPLINARIO – 2018 “¿QUIÉN QUIERE SER DISCIPLINADO?” el día 23 de marzo, con las siguientes áreas participantes:
1.        Despacho del ministro de vivienda, ciudad y territorio
2.        Oficina de tecnologías de la información y las comunicaciones
3.        Grupo de comunicaciones estratégicas
4.        Oficina asesora jurídica
5.        Grupo de conceptos
6.        Grupo de acciones constitucionales
7.        Grupo de seguimiento y control
8.        Grupo de procesos judiciales
9.        Oficina asesora de planeación
10.      Grupo de gestión de recursos y presupuesto
11.      Grupo de seguimiento al Plan Nacional de Desarrollo
Actividad No. 2 Segundo concurso disciplinario el día 22 de junio 2018 con la participacion de las siguiente areas :
1.            DESPACHO DEL VICEMINISTRO DE VIVIENDA
2.            DIRECCIÓN DEL SISTEMA HABITACIONAL
3.            GRUPO DE TITULACIÓN Y SANEAMIENTO PREDIAL
4.            DIRECCIÓN DE INVERSIONES EN VIVIENDA DE INTERÉS SOCIAL
5.            SUBDIRECCIÓN DEL SUBSIDIO FAMILIAR DE VIVIENDA
6.            SUBDIRECCIÓN DE PROMOCIÓN Y APOYO TÉCNICO
7.            DIRECCIÓN DE ESPACIO URBANO Y TERRITORIAL
8.            SUBDIRECCIÓN DE POLÍTICAS DE DESARROLLO URBANO Y TERRITORIAL
9.            SUBDIRECCIÓN DE ASISTENCIA TÉCNICA Y OPERACIONES URBANAS INTEGRALES
Lo anterior, ubica en el rango de gestión de cumplimiento de la meta en sobresaliente, que indica que tiene una tendencia positiva.</t>
  </si>
  <si>
    <t>El indicador "Atención a solicitudes de actuaciones disciplinarias" durante el mes de junio de 2018 reporta que se recibieron 9 Informes y/o quejas alusivas a presuntas faltas disciplinarias al interior del MVCT y Fonvivienda, las cuales fueron atendidas. En la vigencia se tienen un total acumulado de 54 Informes y/o quejas atendidas cumpliendo en un 100% la meta fijada. Lo anterior, ubica en el rango de gestión de cumplimiento de la meta en sobresaliente, que indica que tiene una tendencia positiva.
Las 9 quejas o informes alusivos a hechos relacionados con una presunta incidencia disciplinaria al interior del MVCT, se relacionan a continuación:
-Informe Grupo de Titulación y Saneamiento Predial presunto incumplimiento a respuesta derecho de petición   1.            
-Informe Procuraduría Primera Distrital presunto incumplimiento a sentencia de tutela 2017-2018  1.                                            
-Informe Control Interno Auditoria Financiera FONVIVIENDA-2017  7.</t>
  </si>
  <si>
    <t>El indicador "Nuevas personas beneficiadas con proyectos que mejoran provisión, calidad y/o continuidad de los servicios de acueducto y alcantarillado" del PND 2014-2018 tiene reporte anual con rezago de 90 días acorde con lo establecido en su hoja de vida. El último reporte oficial corresponde a la vigencia 2017 con 448.670 personas beneficiadas con proyectos que mejoran provisión, calidad y/o continuidad de los servicios de acueducto y alcantarillado.
No obstante lo anterior, para el mes de enero de la vigencia 2018, reporta que se ha beneficiado a 11.445 nuevas personas con proyectos que mejoran la provisión, calidad y/o continuidad de los servicios de acueducto y alcantarillado.</t>
  </si>
  <si>
    <t>El indicador "Nuevas personas beneficiadas con proyectos que mejoran provisión, calidad y/o continuidad de los servicios de acueducto y alcantarillado" del PND 2014-2018 tiene reporte anual con rezago de 90 días acorde con lo establecido en su hoja de vida. El último reporte oficial corresponde a la vigencia 2017 con 448.670 personas beneficiadas con proyectos que mejoran provisión, calidad y/o continuidad de los servicios de acueducto y alcantarillado.
No obstante lo anterior, este indicador, para el mes de febrero de la vigencia 2018, reporta que se ha beneficiado a 5.857 nuevas personas con proyectos que mejoran la provisión, calidad y/o continuidad de los servicios de acueducto y alcantarillado.</t>
  </si>
  <si>
    <t>El indicador "Nuevas personas beneficiadas con proyectos que mejoran provisión, calidad y/o continuidad de los servicios de acueducto y alcantarillado" del PND 2014-2018 tiene reporte anual con rezago de 90 días acorde con lo establecido en su hoja de vida. El último reporte oficial corresponde a la vigencia 2017 con 448.670 personas beneficiadas con proyectos que mejoran provisión, calidad y/o continuidad de los servicios de acueducto y alcantarillado.
No obstante lo anterior, este indicador, para el mes de abril de la vigencia 2018, reporta que se ha beneficiado a 14.500 nuevas personas con proyectos que mejoran la provisión, calidad y/o continuidad de los servicios de acueducto y alcantarillado.</t>
  </si>
  <si>
    <t>El indicador "Nuevas personas beneficiadas con proyectos que mejoran provisión, calidad y/o continuidad de los servicios de acueducto y alcantarillado" del PND 2014-2018 tiene reporte anual con rezago de 90 días acorde con lo establecido en su hoja de vida. El último reporte oficial corresponde a la vigencia 2017 con 448.670 personas beneficiadas con proyectos que mejoran provisión, calidad y/o continuidad de los servicios de acueducto y alcantarillado</t>
  </si>
  <si>
    <t>Indicador cuatrimestral volverá a presentar ejecución en el mes de agosto de 2018.</t>
  </si>
  <si>
    <t xml:space="preserve">      El indicador "Porcentaje de contratos suscritos que están precedidos de una adecuada planeación y programación que permita la publicación al secop dentro de los tiempos establecido" durante el mes de junio de 2018 presentó una ejecución del 100%, debido a que en este periodo se publicó en SECOP en los tiempos establecidos la totaliadad de los procesos del MVCT que corresponde para este mes a 160 procesos.
En términos acumulados este indicador también presenta una ejecución del 100% debido a que en este periodo se publicó en SECOP en los tiempos establecidos la totaliadad de los procesos del MVCT que corresponden para lo corrido de la vigencia a 748 procesos.
Lo anterior ubica el rango de gestión de cumplimiento de la meta en sobresaliente, que indica que tiene una tendencia positiva.</t>
  </si>
  <si>
    <t>La próxima capacitación se tiene programada para el día 12 de septiembre de 2018.</t>
  </si>
  <si>
    <t>El indicador "Estudios y Propuestas normativas y de política orientadas a optimizar el marco normativo en materia de Vivienda de desarrollo urbano y territorial sostenible" durante el mes de junio de 2018 reporta que se realizó 1 estudio y/o propuesta normativa.
En términos acumulados la DSH ha elaborado cuatro estudios y/o propuestas normativas y de política orientadas a optimizar el marco normativo en materia de Vivienda de desarrollo urbano y territorial sostenible, obteniendo un avance en el indicador del 66,66%, con referencia a la meta programada para la vigencia de 6 estudios:
1. El estudio y propuesta normativa elaborada es el siguiente: “Por la cual se establecen los órdenes de priorización de los hogares potenciales beneficiarios y órdenes de selección de los hogares beneficiarios de la asignación de subsidios familiares de vivienda en especie” el cual fue publicado en la página web del ministerio el 19 de enero de 2018.
2. Uno tipo decreto "Por medio del cual se modifica el Decreto 1077 de 2015, Decreto Único Reglamentario del Sector Vivienda, Ciudad y Territorio, en lo relacionado con el acceso al subsidio familiar de vivienda en especie para áreas urbanas de los integrantes de la Fuerza Pública, que se encuentren en estado de vulnerabilidad y no cuenten con una solución habitacional y se adoptan otras disposiciones ". 
3. Otro proyecto normativo, tipo resolución "Por la cual se establecen criterios para realizar redistribuciones de cupos de recursos en el marco del Programa de Vivienda de Interés Prioritario para Ahorradores - VIPA”.
4. Se elaboró un (1) proyecto normativo correspondiente al tipo de proyecto normativo resolución "Por la cual se establecen criterios para realizar redistribución de cupos de recursos en el marco de la Segunda Fase del Programa de Vivienda Gratuita”.
El comportamiento de este indicador lo ubica en el rango de gestión de cumplimiento de la meta con una tendencia positiva, teniendo en cuenta que se está comportando de acuerdo con lo programado</t>
  </si>
  <si>
    <t>El indicador "Títulos de predios fiscales y privados generados" durante el mes de junio de 2018 reporta que se generaron 1.168 títulos de propiedad.
En términos acumulados, este indicador presenta 2.537 títulos en 20 entidades territoriales, beneficiando aproximadamente a 10.148 personas.
El comportamiento de este indicador lo ubica en el rango de gestión de cumplimiento de la meta con una tendencia positiva, teniendo en cuenta que se está comportando de acuerdo con lo programado.</t>
  </si>
  <si>
    <t>El indicador "Número de bienes inmuebles del extinto ICT-INURBE respecto de los cuales se adelantaron actividades de saneamiento" durante el mes de junio de 2018 reporta que se han adelantado 585 actividades de saneamiento de los predios de los extintos ICT-INURBE; para un acumulado de 4.769 en lo corrido de la vigencia 2018, presentando un avance del 58,2%.  
El comportamiento de este indicador lo ubica en el rango de gestión de cumplimiento de la meta con una tendencia positiva, teniendo en cuenta que se está comportando de acuerdo con lo programado.</t>
  </si>
  <si>
    <t xml:space="preserve">El indicador "Productos de comunicación aprobados para los canales de comunicación interna" arroja un resultado de 71 productos de comunicación interna en el mes de junio, para un total acumulado de 442 productos de comunicación en el año, lo cual indica un comportamiento positivo del indicador acorde con lo programado.
Con corte a Junio 30 de 2018,  se realizaron y aprobaron 442 productos de comunicación interna, obteniéndose un avance en el  indicador de 74%, con respecto a la meta programada para la vigencia 2018, que es de 600 productos.  </t>
  </si>
  <si>
    <t>El indicador "Productos de comunicación aprobados para los canales de comunicación externa" arroja un resultado de 175 productos de comunicación externa en el mes de junio, para un total acumulado de 1.212 productos de comunicación en el año, lo cual indica un comportamiento positivo del indicador acorde con lo programado.
Con corte a Junio 30 de 2018, se realizaron y aprobaron 1.212 productos de comunicación externa, obteniéndose un avance en el  indicador de 61%,  con respecto a la meta programada para la vigencia 2018, que es de 2.000 productos.</t>
  </si>
  <si>
    <t>El indicador "Noticias positivas publicadas" arroja una ejecución del 91,52% para el mes de junio debido a que las noticias positivas del MVCT fueron 302 y las noticias publicadas fueron 330.
En términos acumulados este indicador presenta una ejecución del 94,17% ya que el total de noticias positivas es de 1.711 y el total de noticias publicadas es de 1.817.
El comportamiento de este indicador lo ubica en el rango de gestión de cumplimiento de la meta con una tendencia positiva, teniendo en cuenta que la ejecución a la fecha está acorde a lo programado.</t>
  </si>
  <si>
    <t xml:space="preserve">      El indicador "Estudios  y propuestas de nuevas disposiciones o modificaciones normativas o de politica del sector (APSB)" arroja un resultado de 4 estudios y propuestas hasta el mes de mayo, debido a que en este periodo se realizaron las siguientes actividades:
• Resolución 0291 - 30/04/2018, por la cual se determina el Plazo para el cumplimiento de los requisitos del proceso de certificación de distritos y municipios para la administración de los recursos del SGP.
• Resolución 0246 10/04/2018, por la cual se modifica la resolución 0487 de 2017, que reglamenta el artículo 57 de la Ley 1537 de 2012, que creó dentro de la estructura operativa del MVCT, el sistema de Inversiones en Agua Potable y Saneamiento Básico – SINAS.   
• Resolución 0115 16/02/2018, por la cual se modifica el artículo 19 de la resolución 0501 de 2.017, en cuanto a requisitos técnicos relacionados con la composición química e información, que deben cumplir los tubos, ductos y accesorios de acueducto y alcantarillado.
• Resolución 0097 05/02/2018, por la cual se definen los requisitos de presentación, evaluación y viabilización de proyectos de obras por impuestos para el suministro de agua potable y alcantarillado.
 Lo anterior  indica un comportamiento positivo acorde con lo programado arrojando un porcentaje de ejecución del 40%.</t>
  </si>
  <si>
    <t xml:space="preserve">El indicador "Modelos de gestión integrados" durante el mes de junio presenta un avance del 0%, puesto que a la fecha se continúa con la ejecución de actividades planeadas para alcanzar la meta establecida.
Así las cosas, en el mes de junio del presente año, se continuó con la ejecución de las actividades definidas para actualizar el Sistema Integrado de Gestión (SIG) al modelo de gestión de calidad ISO 9001:2015. Las actividades que se desarrollaron fueron: 
1) Se actualizo el documento contexto de la entidad para 2018
2) Mediante mesas de trabajo se socializo a los procesos el documento contexto de la entidad para 2018
3) Se realizó mesa de trabajo al interior de la OAP, con el fin de definir requisitos no aplicables de la NTC ISO 9001:2015
4) Mediante mesa de trabajo se implementó el formato de caracterización de los procesos que conforman el SIG (secuencias y numerales)
5) El manual de calidad se encuentra en proceso de actualización
6) El procedimiento y formato de planificación del cambio se encuentra en estado preliminar
7) Se documentó  gestión del conocimiento en la entidad conforme a los requisitos de NTC ISO 9001:2015
8) Se actualizaron la matriz de comunicaciones según literal 7,3 literal c y d y la política de comunicación pública
9) Se actualizo el procedimiento de control de documentos y actualmente se encuentra en revisión final
10) Se realizó mesa de trabajo evaluando la necesidad de incluir en el sig. Diseño y desarrollo de TIC (Gesdoc), Gestión, soporte y apoyo informático, y Gestión del subsidio (Fonvivienda).   
11) Se revisó la documentación del proceso de gestión documental, frente lo establecido en numeral 8.5.4 –preservación de la NTC ISO 9001:2015. 
12) Se revisó lo documentado en la política de protección de datos personales frente al Numeral 8.5.4 -preservación de la NTC ISO 9001:2015 
13) Se actualizó el procedimiento de Revisión por la Dirección y actualmente se encuentra en revisión final al interior de la OAP
14) Se actualizo el procedimiento de acciones preventivas, correctivas y de mejora
</t>
  </si>
  <si>
    <t xml:space="preserve">      El indicador "Estudios  y propuestas de nuevas disposiciones o modificaciones normativas o de politica del sector (APSB)" con corte a Junio 30 de 2018, se cuenta con 5 documentos de propuesta terminados, cumpliendo en un 50% la meta fijada para dicha vigencia que es de diez 10 estudios y propuestas, estos documentos son:
• Resolución 0291 - 30/04/2018, por la cual se determina el Plazo para el cumplimiento de los requisitos del proceso de certificación de distritos y municipios para la administración de los recursos del SGP.
• Resolución 0246 10/04/2018, por la cual se modifica la resolución 0487 de 2017, que reglamenta el artículo 57 de la Ley 1537 de 2012, que creó dentro de la estructura operativa del MVCT, el sistema de Inversiones en Agua Potable y Saneamiento Básico – SINAS.   
• Resolución 0115 16/02/2018, por la cual se modifica el artículo 19 de la resolución 0501 de 2.017, en cuanto a requisitos técnicos relacionados con la composición química e información, que deben cumplir los tubos, ductos y accesorios de acueducto y alcantarillado.
• Resolución 0097 05/02/2018, por la cual se definen los requisitos de presentación, evaluación y viabilización de proyectos de obras por impuestos para el suministro de agua potable y alcantarillado.
• Propuesta de Articulado de Reforma Estructural Ley 1176 de 2007”  
Adicionalmente se cuenta con los siguientes proyectos normativos en proceso: 
1. Por el cual se reglamenta el artículo 164 de la Ley 142 de 1994 y se adiciona una sección al Decreto 1077 de 2015, Decreto Único Reglamentario del Sector Vivienda, Ciudad y territorio, en lo relacionado con las inversiones ambientales. Estado: Trámite previo a la remisión para visto bueno de la OAJ. 
2. Por la cual se adopta la guía metodológica del programa de conexiones Intradomiciliarias de acueducto y alcantarillado Estado: Trámite previo a la remisión para visto bueno de la OAJ. 
3. Por la cual se establecen los requisitos técnicos para los proyectos de agua y saneamiento básico de zonas rurales que se adelanten bajo los esquemas diferenciales definidos en la Parte II, Título VII, Capítulo 1, del Decreto 1077 de 2015  Estado: Trámite previo a la remisión para visto bueno de la OAJ. 
4. Por el cual se subroga el capítulo 1, del título 3, de la parte 3, del libro 2, del Decreto Único Reglamentario del Sector Vivienda, Ciudad y Territorio, Decreto 1077 del 26 de mayo de 2015, con relación a los Planes Departamentales para el Manejo (...) Estado: Trámite previo a la remisión para visto bueno de la OAJ. 
5. Por la cual se adopta la guía metodológica del programa de conexiones Intradomiciliarias de acueducto y alcantarillado Estado: Trámite previo a la remisión para visto bueno de la OAJ. 
6. Proyecto Por la cual se modifica la Resolución 0154 de 2014 y se dictan otras disposiciones Estado: En proceso de firmas, Cuenta con visto bueno de la OAJ. 
7.  Por el cual se adiciona el capítulo 7, al título 2, de la parte 3, del libro 2, del Decreto Único Reglamentario del Sector Vivienda, Ciudad y Territorio, Decreto 1077 del 26 de mayo de 2015, que reglamenta parcialmente el artículo 88 de la Ley 1753 (...) Estado: Trámite previo a la remisión para visto bueno de la OAJ.
</t>
  </si>
  <si>
    <r>
      <rPr>
        <sz val="11"/>
        <rFont val="Calibri"/>
        <family val="2"/>
        <scheme val="minor"/>
      </rPr>
      <t>Este Indicador fue modificado teniendo en cuenta que a partir de la expedición de la Ley No. 1873 del 20 de diciembre de 2017 y el Decreto 2236 del 27 de diciembre de 2017, el Ministerio de Hacienda restringió el proceso de obligación; permitiendo únicamente realizar obligaciones frente al PAC asignado en la vigencia y no con cargo al PAC DE REZAGO AÑO SIGUIENTE, como se venía realizando en vigencias anteriores.
Esto ha conllevado a que tanto el Ministerio como Fonvivienda presenten dificultades en la obligación de cuentas. Al respecto, según registro en el SIIF – Nación, es importante advertir que para los meses de junio a diciembre no contamos con PAC disponible.
El indicador "Seguimiento a la Apropiación Comprometida del MVCT Y FONVIVIENDA" arroja una ejecución en el mes de junio del 4,46% ya que se tiene un presupuesto comprometido de $169.743.970.870,04  y un presupuesto apropiado para la vigencia de $ 3.809.858.820.144.
En términos acumulados este indicador presenta una ejecución del 71,17% ya que se tiene un presupuesto comprometido de $2.711.617.635.938,81 y un presupuesto apropiado para la vigencia de $ 3.809.858.820.144.</t>
    </r>
    <r>
      <rPr>
        <sz val="11"/>
        <color theme="1"/>
        <rFont val="Calibri"/>
        <family val="2"/>
        <scheme val="minor"/>
      </rPr>
      <t xml:space="preserve">
El comportamiento de este indicador lo ubica en el rango de gestión de cumplimiento de la meta con una tendencia positiva, teniendo en cuenta que las obligaciones a la fecha están acordes a lo programado.</t>
    </r>
  </si>
  <si>
    <t>El indicador "Viviendas de interés prioritario y social iniciadas en el Programa de Cobertura Condicionada para Créditos de Vivienda Segunda Generación - Frech" es del PND 2014-2018 cuya medición presenta un rezago de 30 días, durante el mes de junio de 2018 reporta que se iniciaron 2.041 viviendas de interés prioritarion el Programa de Cobertura Condicionada para Créditos de Vivienda Segunda Generación, para un total acumulado de 13.400 viviendas en la vigencia.
Al 30 de junio se iniciaron en el programa de Cobertura Condicionada para Créditos de Vivienda Segunda Generación - "Frech", un total de 13.400 viviendas de interés prioritario y social (de las 33.500 que se tienen como meta), discriminados de la siguiente manera: 2.808 VIP y 10.592 VIS, con un porcentaje de cumplimiento del 40%.
El comportamiento de este indicador lo ubica en el rango de gestión de cumplimiento de la meta con una tendencia positiva, teniendo en cuenta que se está comportando de acuerdo con lo programado.</t>
  </si>
  <si>
    <t>El indicador "Coberturas otorgadas en el programa de cobertura condicionada para créditos de vivienda segunda generación" durante el mes de mayo de 2018 reporta que se otorgaro 2.036 coberturas en el programa de cobertura condicionada para créditos de vivienda segunda generación, para un total acumulado de 10.688 coberturas otorgadas en la vigencia.
El comportamiento de este indicador lo ubica en el rango de gestión de cumplimiento de la meta con una tendencia positiva, teniendo en cuenta que se está comportando de acuerdo con lo programado.</t>
  </si>
  <si>
    <t>El indicador "Coberturas otorgadas en el programa de cobertura condicionada para créditos de vivienda segunda generación" durante el mes de junio de 2018 reporta que se otorgaro 1.491 coberturas en el programa de cobertura condicionada para créditos de vivienda segunda generación, para un total acumulado de 12.179 coberturas otorgadas en la vigencia.
El comportamiento de este indicador lo ubica en el rango de gestión de cumplimiento de la meta con una tendencia positiva, teniendo en cuenta que se está comportando de acuerdo con lo programado.</t>
  </si>
  <si>
    <t>El indicador "Viviendas iniciadas de interés prioritario programa de vivienda gratis segunda fase" en el mes de junio no presenta avances.</t>
  </si>
  <si>
    <t>El indicador "Viviendas iniciadas de interés prioritario programa de vivienda gratis segunda fase" es del PND 2014-2018 cuya medición presenta un rezago de 30 días, durante el mes de marzo de 2018 reporta que se iniciaron 635 viviendas de interés prioritario en el programa de vivienda gratis segunda fase, para un total acumulado de 635 viviendas en la vigencia.
Con corte a Junio 30 de 2018, se han iniciado 635 viviendas de interés prioritario en el PVGII, para un total acumulado en el cuatrienio de 29.037 viviendas iniciadas de interés prioritario en el programa de vivienda gratis segunda fase.
De acuerdo a lo anterior, si bien la meta para la vigencia 2018 es de 5.000 viviendas y la ejecución con corte a Junio 30 de 2018 es de 12%, la entidad viene cumpliendo con la meta planteada para el cuatrienio.   
El comportamiento de este indicador lo ubica en el rango de gestión de cumplimiento de la meta con una tendencia positiva, teniendo en cuenta que se está comportando de acuerdo con lo programado.</t>
  </si>
  <si>
    <t>El indicador "Subsidios asignados para Viviendas de interés social iniciadas en el Programa de promoción y acceso a vivienda de interés social - Mi Casa Ya" durante el mes de junio de 2018 reporta que se asignaron 2.857 subsidios para Viviendas de interés social iniciadas en el Programa de promoción y acceso a vivienda de interés social - Mi Casa Ya, para un total acumulado de 11.476 subsidios asignados en la vigencia frente a la meta formulada de 18.200 subsidios. 
El comportamiento de este indicador lo ubica en el rango de gestión de cumplimiento de la meta con una tendencia positiva, teniendo en cuenta que se está comportando de acuerdo con lo programado.
En el marco del Programa de Vivienda “Mi Casa Ya” en el primer semestre del año 2018 se han asignado total de 11.476 subsidios familiares de vivienda de interés social en los diferentes departamentos del país. Por lo anterior, se registra una ejecución de la iniciativa del 63%.</t>
  </si>
  <si>
    <t>El indicador "Porcentaje de Subsisdios Familiares de Vivienda en Especie asignados a Población desplazada en el programa de vivienda gratuita" es del PND 2014-2018 cuya medición presenta un rezago de 30 días, arroja una ejecución del 100% para el mes de mayo debido a que se asignaron 985 subsidios familiares de vivienda en especie del programa de vivienda gratuita primera fase, a la población en situación de desplazamiento, del total asignado el cual fue de 985 subsidios.
En términos acumulados este indicador presenta una ejecución del 98,60% ya que se han asignado 2.189 subsidios familiares de vivienda en especie del programa de vivienda gratuita primera fase, a la población en situación de desplazamiento, del total asignado el cual fue de 2.220 subsidios en lo corrido de la vigencia.
El comportamiento de este indicador lo ubica en el rango de gestión de cumplimiento de la meta con una tendencia positiva, teniendo en cuenta que su comportamiento va de acuerdo a lo programado.</t>
  </si>
  <si>
    <t>El indicador "Porcentaje de Subsisdios Familiares de Vivienda en Especie asignados a Población desplazada en el programa de vivienda gratuita" es del PND 2014-2018 cuya medición presenta un rezago de 30 días, arroja una ejecución del 60,33% para el mes de junio debido a que se asignaron 511 subsidios familiares de vivienda en especie del programa de vivienda gratuita primera fase, a la población en situación de desplazamiento, del total asignado el cual fue de 847 subsidios.
En términos acumulados este indicador presenta una ejecución del 88.03% ya que se han asignado 2.700 subsidios familiares de vivienda en especie del programa de vivienda gratuita primera fase, a la población en situación de desplazamiento, del total asignado el cual fue de 3.067 subsidios en lo corrido de la vigencia.
El comportamiento de este indicador lo ubica en el rango de gestión de cumplimiento de la meta con una tendencia positiva, teniendo en cuenta que su comportamiento va de acuerdo a lo programado.</t>
  </si>
  <si>
    <t xml:space="preserve">El indicador "Viviendas escrituradas del Programa de Vivienda Gratuita 1 y 2" es del PND 2014-2018 cuya medición presenta un rezago de 30 días, durante el mes de junio de 2018 reporta que se escrituraron 306 viviendas de interés prioritario en los programas de vivienda gratuita primera y segunda fase;  para un total acumulado de 1.834 viviendas en la vigencia.
El comportamiento de este indicador lo ubica en el rango de gestión de cumplimiento de la meta con una tendencia negativa. Durante el primer semestre del año 2018, se han escriturado un total de 1.834 viviendas en el Programa de Vivienda Gratuita FAse I y II, con un cumplimiento del 7%, este bajo porcentaje de cumplimiento se debe a lo siguiente:  
Con referencia al Programa de Vivienda Gratuita I, el proceso escrituración de las últimas viviendas de las 100,000, ha tenido retrasos en este proceso, debido a diferentes novedades presentadas con los hogares beneficiarios tales como las renuncias, sustituciones, sin ubicar y revocatorias, que no han permitido que se finalice la escrituración en este programa.  Adicionalmente, se presenta retrasos debido a la suscripción de las actas de reconocimiento de las viviendas por parte del beneficiario; así como los beneficiarios no se acercan a las notorias a suscribir las escrituras correspondientes.
En cuanto al Programa de  Vivienda Gratuita  II , solamente  cuando la ejecución de los proyectos estuviera en el 30% se podía iniciar la composición poblacional con los entes territoriales, con el propósito de definir los porcentajes de viviendas a entregar a cada rango de población objeto del programa. Un gran número de proyectos del esquema público han presentado retrasos en las diferentes fases de ejecución, lo que a su vez  retrasa los procesos de terminación de las viviendas, postulación y asignación de  los subsidios a los beneficiarios de los proyectos y solamente hasta que se tenga las viviendas terminadas y asignadas a los beneficiarios se puede iniciar con el proceso de escrituración. 
Como se puede observar para que se presente viviendas terminadas y escrituradas se deben cumplir con procesos previos de acuerdo con la dinámica de  los programas. Cualquier retraso no permite que estas metas puedan ser cumplidas en su totalidad, sumado a las diferentes novedades que se presenten con los beneficiarios en el momento de la escrituración. 
</t>
  </si>
  <si>
    <t>El indicador "Viviendas terminadas del Programa de Vivienda Gratuita 1 y 2" es del PND 2014-2018 cuya medición presenta un rezago de 30 días, durante el mes de junio de 2018 reporta que se terminaron 727 viviendas del Programa de Vivienda Gratuita 1 y 2;  para un total acumulado de 1.843 viviendas terminadas en la vigencia.
El comportamiento de este indicador lo ubica en el rango de gestión de cumplimiento de la meta con una tendencia positiva, teniendo en cuenta que se está comportando de acuerdo con lo programado.</t>
  </si>
  <si>
    <t xml:space="preserve">El indicador "Viviendas de interés social iniciadas en el Programa de promoción y acceso a vivienda de interés social - Mi Casa Ya" es del PND 2014-2018 cuya medición presenta un rezago de 30 días, durante los dos primeros trimestres del año 2018 se han habilitado 28,795 hogares en 28 departamentos del país como son Antioquia, Arauca, Atlántico, Bogotá, Bolívar, Boyacá, Caldas, Caquetá, Casanare, Cauca, Cesar, Córdoba, Cundinamarca, Guaviare, Huila, La Guajira, Magdalena, Meta, Nariño, Norte de Santander, Putumayo, Quindío, Risaralda, Santander, Sucre, Tolima y Valle del Cauca, por lo anterior, se registra una ejecución de la iniciativa del 125%. </t>
  </si>
  <si>
    <t>El Indicador "Porcentaje de avance del Plan Institucional de Capacitación, formulado, implementado y publicado en la Intranet" presenta una ejecución del 40% en el mes de junio ya que se realizaron 2 capacitaciones de las 5 que se tienen previstas realizar durante la vigencia.
Durante el mes de junio se realizaron dos capacitaciones individuales así: 
1. Un funcionario asistió al Seminario de Actualización: PREVENCIÓN DEL ACOSO LABORAL Y COMITÉS DE CONVIVENCIA LABORAL organizado por F&amp;C Consultores. 
2. Un funcionario asistió a la capacitación Talleres Aplicados ASPECTOS PRÁCTICOS PARA LA ELABORACIÓN DE ESTUDIOS PREVIOS y MANEJO DE LOS CONVENIOS organizada por la misma empresa.
En términos acumulados el porcentaje de ejecución correponde al 36% de la meta programada para el año que es del 90% de ejecución del Plan Institucional de Capacitación.</t>
  </si>
  <si>
    <t>Indicador "Porcentaje de avance del programa de bienestar social e incentivos, formulado, implementado y publicado en la intranet" arroja una ejecución del 43,64% para el mes de junio debido a que se desarrollaron 24 actividades del programa de bienestar social e incentivosde las 55 programadas para la vigencia. Dentro de las actividades más relevantes se encuentran las siguientes:
Cambiatón de láminas del álbum Mundial Rusia 2018, lanzamiento del noticiero “Integridad TV” (Código de Integridad), conmemoración día de las secretarias, cumpleaños a los servidores públicos, oficina móvil Cafam, actividades de Promoción y Prevención de Salud y Participación Juegos de Función Pública, actividades de conmemoración de fechas especiales y campañas especiales las cuales fueron el día de la Mujer, el día del Hombre, día de la Madre, día de la Familia, campaña Código de Integridad, campaña apoya a la selección Colombia mundial Rusia 2018, conmemoración día del Padre, conmemoración cumpleaños Ministro Camilo Sanchez y conmemoración día del Servidor Público.
A su vez, se solicitó a la Oficina de Tecnologías de la Información y las Comunicaciones y al Grupo de Soporte Técnico y Apoyo Informático, la publicación en la intranet de los documentos mencionados y él envió por medio de correo masivo.
El indicador Porcentaje de avance del programa de bienestar social e incentivos, presenta un avance del 44% en la meta programada para esta vigencia.
El comportamiento de este indicador lo ubica en el rango de gestión de cumplimiento de la meta con una tendencia positiva, teniendo en cuenta que las obligaciones a la fecha están acordes a lo programado.</t>
  </si>
  <si>
    <t>El indicador "Porcentaje de avance del Plan anual de Trabajo de Seguridad y Salud en el Trabajo" arroja una ejecución del 24,68% para el mes de junio debido a que se desarrollaron 71 actividades del plan anual de  seguridad y salud en el Trabajo de las 308 programadas para la vigencia. 
En términos acumulados este indicador presenta uan ejecución del 47,73% debido a que se han ejecutado 147 ctividades del plan anual de  seguridad y salud en el Trabajo de las 308 programadas para la vigencia. dentro de las actividades más relevantes se encuentran las siguientes:
Identificar los requisitos legales y normativos aplicables al SGSST, Formular el plan anual de trabajo en SST, Liderazgo y compromiso, administración de la documentación, requisitos Legales, comunicación participación y consulta, evaluación de accidentalidad, sistema de Vigilancia, capacitación en riesgo cardiovascular y Biomecánico, verificación de condiciones biométricas, seguimiento a casos con recomendación laboral, Escuelas terapéuticas, Inspección de Puestos de trabajo  Bogotá –Guajira, valoraciones Osteomusculares, aplicación de encuesta, por sintomatología por DME , valoración general a grupos primarios, jornada de acondicionamiento físico Pilates rumba, Tamizaje cardiovascular Bogotá – Guajira, realización de exámenes médicos ocupacionales, revisión y actualización del instructivo de evaluaciones médicos ocupacionales, continuación aplicación de la Batería de Riesgo psicosocial Bogotá Guajira, seguimientos a asesorías individuales, capacitación prevención de consumo de Sustancias Psicoactivas, Medición de material particulado, Inspección a vehículos, verificación y actualización del PAE Bogotá y Guajira, capacitación a brigada de emergencias Bogotá y Guajira, Inspecciones planeadas identificación de riesgos.  Sede Fragua, Calle 18, palma, Botica e imprenta, se actualizo la base de datos de accidentes, Inducción y reinducción Contratistas, escuelas Terapéuticas, valoraciones Osteomusculares, seguimiento a casos con recomendación medico laboral, exámenes médicos ocupacionales, día de la escalera, pausas activas, aplicación de encuestas por sintomatología DME, acondicionamiento físico, actividad física en Gimnasio, aplicación de batería, Intervención a casos psicosociales, capacitación Comité de convivencia Laboral, capacitación en Prevención De Spa, capacitación Conductores manejo defensivo y Riesgo Psicosocial, campaña orden y aseo fragua, socialización Lecciones aprendidas, Indicadores de ausentismo, capacitación Brigadas, mesa laboral con ARL Positiva  y comité de ayuda mutua, entre otras.                                                             
El comportamiento de este indicador lo ubica en el rango de gestión de cumplimiento de la meta con una tendencia positiva, teniendo en cuenta que las obligaciones a la fecha están acordes a lo programado.</t>
  </si>
  <si>
    <t>Indicador "Porcentaje de avance del Plan Estratégico de recursos humanos formulado, implementado y publicado en la página web institucional", con corte al 30 de junio de 2018 presenta una ejecución del 66,67% ya que se han realizado 2 actividades del Plan Estratégico de Talento Humano de las tres que se tienen programadas para la vigencia:
1. Actualización y elaboración el Plan Estratégico de Recursos Humanos.
2. Publicación del Plan Estratégico de Recursos Humanos:
El Plan Estratégico de Talento Humano firmado, se encuentra publicado en la Web en el siguiente Link:
http://portal.minvivienda.local/Documents/Sobre%20el%20Ministerio/Talento%20humano/PLAN%20ESTRATÉGICO%20DE%20TALENTO%20HUMANO%202018.pdf
El comportamiento de este indicador lo ubica en el rango de gestión de cumplimiento de la meta con una tendencia positiva, teniendo en cuenta que las obligaciones a la fecha están acordes a lo programado.</t>
  </si>
  <si>
    <t xml:space="preserve">El indicador "Actividades de saneamiento realizadas a activos del extinto ICT-INURBE" arroja una ejecución del 22,85% para el mes de junio debido a que en este periodo se intervinieron 16 activos del extinto ICT INURBE de los 70 que se tiene programado intervnir en la vigencia.En términos acumulados este indicador presenta una ejecución del 88,57% dado que se han intervenido 62  activos del extinto ICT INURBE en lo que va corrido de la vigencia.
En le mes de junio los predios intervenidos fueron: 
1. Se cuenta con paz y salvo, certificado de uso de suelo y certificado de riesgo y amenaza, para predio identificado con código predial 01-04-0105-0001-000 en Girón Santander.
2. Cuatro (4) predios identificados con los códigos prediales números 01-09-0034-0010-000, 01-09-0517-0028-000, 01-09-0391-0007-000 y 01-09-0389-0015-000, localizados en la ciudadde Barranquilla, tienen Solicitud de certificado de riesgo y amenaza, certificado de uso de suelo, recibo impuesto predial, y certificado plano predial
3. Para tres (3) predios en Bogotá asociados a los chips AAA0064EUKL, AAA0064MTHK y AAA0064BSBS, Se elaboró informe jurídico y se recolecto la información asociada al expediente.
4. Para ocho (8) predios en Manizales identificados con los códigos prediales 01-04-0500-0027-000, 01-04-0500-0028-000, 01-04-0500-0029-000,  01-04-0500-0030-000, 01-04-0500-0032-000, 01-03-0733-0016-000, 01-03-0733-0013-000 y 01-07-0103-0004-000, por correo electrónico, Oficina de Conservación IGAC Manizales, solicitud certificados planos prediales.
Con lo anterior, a corte de Junio, se tiene 62 predios intervenidos.
El comportamiento de este indicador lo ubica en el rango de gestión de cumplimiento de la meta con una tendencia positiva, teniendo en cuenta que su comportamiento va desarrollándose de acuerdo a lo programado. </t>
  </si>
  <si>
    <t xml:space="preserve">      El indicador "Realizar los mantenimientos preventivos y correctivos identificados" durante el mes de abril de 2018 presentó una ejecución del 100%, ya que se atendieron la totalidad de solicitudes hechas por los funcionarios, contratistas y dependencias del MVCT, para mantenimientos preventivos y correctivos, los cuales ascienden a 115 en este periodo.
Para Abril de 2018 se identificaron 104 mantenimientos preventivos programados y 11 necesidades de mantenimientos correctivos a realizar, para un total de 115 necesidades identificadas de las cuales se efectuaron su totalidad.
En términos acumulados este indicador también presenta una ejecución del 100% ya que se atendieron la totalidad de solicitudes hechas por los funcionarios, contratistas y dependencias del MVCT, para mantenimientos preventivos y correctivos, los cuales ascienden a 480 en lo corrido de la vigencia.
Lo anterior ubica el rango de gestión de cumplimiento de la meta en sobresaliente, que indica que tiene una tendencia positiva.</t>
  </si>
  <si>
    <t xml:space="preserve">      El indicador "Realizar los mantenimientos preventivos y correctivos identificados" durante el mes de mayo de 2018 presentó una ejecución del 100%, ya que se atendieron la totalidad de solicitudes hechas por los funcionarios, contratistas y dependencias del MVCT, para mantenimientos preventivos y correctivos, los cuales ascienden a 126 en este periodo.
Para el mes de mayo de 2018 se realizaron 104 mantenimientos preventivos y 22 mantenimientos correctivos para un total de 126  necesidades identificadas de las cuales se efectuaron su totalidad.
En términos acumulados este indicador también presenta una ejecución del 100% ya que se atendieron la totalidad de solicitudes hechas por los funcionarios, contratistas y dependencias del MVCT, para mantenimientos preventivos y correctivos, los cuales ascienden a 606 en lo corrido de la vigencia.
Lo anterior ubica el rango de gestión de cumplimiento de la meta en sobresaliente, que indica que tiene una tendencia positiva.</t>
  </si>
  <si>
    <t xml:space="preserve">      El indicador "Realizar los mantenimientos preventivos y correctivos identificados" durante el mes de junio de 2018 presentó una ejecución del 100%, ya que se atendieron la totalidad de solicitudes hechas por los funcionarios, contratistas y dependencias del MVCT, para mantenimientos preventivos y correctivos, los cuales ascienden a 112 en este periodo.
Para junio de 2018 se identificaron 104 mantenimientos preventivos programados y 8 necesidades de mantenimientos correctivos a realizar para un total de 112 necesidades identificadas de las cuales se efectuaron su totalidad.
En términos acumulados este indicador también presenta una ejecución del 100% ya que se atendieron la totalidad de solicitudes hechas por los funcionarios, contratistas y dependencias del MVCT, para mantenimientos preventivos y correctivos, los cuales ascienden a 718 en lo corrido de la vigencia.
Lo anterior ubica el rango de gestión de cumplimiento de la meta en sobresaliente, que indica que tiene una tendencia positiva.</t>
  </si>
  <si>
    <t xml:space="preserve">      El indicador "Realizar los mantenimientos preventivos y correctivos identificados" durante el mes de marzo de 2018 presentó una ejecución del 100%, ya que se atendieron la totalidad de solicitudes hechas por los funcionarios, contratistas y dependencias del MVCT, para mantenimientos preventivos y correctivos, los cuales ascienden a 119 en este periodo.
Para marzo de 2018 se identificaron 104 mantenimientos preventivos programados y 15 necesidades de mantenimientos correctivos a realizar, para un total de 119 necesidades identificadas de las cuales se efectuaron su totalidad.
En términos acumulados este indicador también presenta una ejecución del 100% ya que se atendieron la totalidad de solicitudes hechas por los funcionarios, contratistas y dependencias del MVCT, para mantenimientos preventivos y correctivos, los cuales ascienden a 365 en lo corrido de la vigencia.
Lo anterior ubica el rango de gestión de cumplimiento de la meta en sobresaliente, que indica que tiene una tendencia positiva.</t>
  </si>
  <si>
    <t xml:space="preserve">      El indicador "Realizar los mantenimientos preventivos y correctivos identificados" durante el mes de enero de 2018 presentó una ejecución del 100%, ya que se atendieron la totalidad de solicitudes hechas por los funcionarios, contratistas y dependencias del MVCT, para mantenimientos preventivos y correctivos, los cuales ascienden a 132 en este periodo.
Para enero de 2018 se identificaron 104 mantenimientos preventivos programados y 28 necesidades de mantenimientos correctivos a realizar, para un total de 132 necesidades identificadas de las cuales se efectuaron su totalidad.
Lo anterior ubica el rango de gestión de cumplimiento de la meta en sobresaliente, que indica que tiene una tendencia positiva.</t>
  </si>
  <si>
    <t xml:space="preserve">El indicador "Prestación de servicios requeridos para el desarrollo administrativo" arroja una ejecución del100% para el mes de enero debido a que en este periodo se atendieron los 518 servicios requeridos en el mes.
Para el mes de enero de 2018 se solicitaron en total 518 servicios entre mantenimientos preventivos, mantenimientos correctivos, papelería, credenciales, pago de servicios públicos, vigilancia y seguridad, aseo y cafetería, comisiones, legalizaciones y transportes, los cuales fueron atendidos en su totalidad.
MANTENIMIENTOS PREVENTIVOS 104
 MANTENIMIENTOS CORRECTIVOS 28
 SOLICITUDES DE PAPELERÍA   6
 SOLICITUD DE CREDENCIALES   178
 SERVICIOS PÚBLICOS  23
 VIGILANCIA Y SEGURIDAD   1
ASEO Y CAFETERÍA  1
 COMISIONES   130
LEGALIZACIONES  38
 TRANSPORTES   9
  TOTAL SOLICITUDES   518
El comportamiento de este indicador lo ubica en el rango de gestión de cumplimiento de la meta con una tendencia positiva, teniendo en cuenta que su comportamiento va desarrollándose de acuerdo a lo programado. </t>
  </si>
  <si>
    <t xml:space="preserve">El indicador "Prestación de servicios requeridos para el desarrollo administrativo" arroja una ejecución del100% para el mes de febrero debido a que en este periodo se atendieron los 975 servicios requeridos en el mes.
Para el mes de febrero de 2018 se solicitaron en total 975 servicios entre mantenimientos preventivos, mantenimientos correctivos, papelería, credenciales, pago de servicios públicos, vigilancia y seguridad, aseo y cafetería, comisiones, legalizaciones y transportes, los cuales fueron atendidos en su totalidad.
MANTENIMIENTOS PREVENTIVOS 104
 MANTENIMIENTOS CORRECTIVOS 10
 SOLICITUDES DE PAPELERÍA   39
 SOLICITUD DE CREDENCIALES   50
 SERVICIOS PÚBLICOS  39
 VIGILANCIA Y SEGURIDAD   1
ASEO Y CAFETERÍA  1
 COMISIONES   442
LEGALIZACIONES  271
 TRANSPORTES   18
  TOTAL SOLICITUDES   975
En términos acumulados este indicador también presenta una ejecución del 100% ya que se atendieron los 1.493 servicios requeridos en lo corrido de la vigencia.
El comportamiento de este indicador lo ubica en el rango de gestión de cumplimiento de la meta con una tendencia positiva, teniendo en cuenta que su comportamiento va desarrollándose de acuerdo a lo programado. </t>
  </si>
  <si>
    <t xml:space="preserve">El indicador "Prestación de servicios requeridos para el desarrollo administrativo" arroja una ejecución del100% para el mes de marzo debido a que en este periodo se atendieron los 925 servicios requeridos en el mes.
Para el mes de marzo de 2018 se solicitaron en total 925 servicios entre mantenimientos preventivos, mantenimientos correctivos, papelería, credenciales, pago de servicios públicos, vigilancia y seguridad, aseo y cafetería, comisiones, legalizaciones y transportes, los cuales fueron atendidos en su totalidad.
MANTENIMIENTOS PREVENTIVOS 104
 MANTENIMIENTOS CORRECTIVOS 15
 SOLICITUDES DE PAPELERÍA   26
 SOLICITUD DE CREDENCIALES   28
 SERVICIOS PÚBLICOS  27
 VIGILANCIA Y SEGURIDAD   1
ASEO Y CAFETERÍA  1
 COMISIONES   365
LEGALIZACIONES  345
 TRANSPORTES   13
  TOTAL SOLICITUDES   925
En términos acumulados este indicador también presenta una ejecución del 100% ya que se atendieron los 1.418 servicios requeridos en lo corrido de la vigencia.
Se identificaron todas las necesidades de apoyo administrativo de las diferentes dependencias del MVCT, para el primer trimestre de la vigencia 2018 se solicitaron en total 2.418 servicios entre  papelería, credenciales, pago de servicios públicos, vigilancia y seguridad, aseo y cafetería, comisiones, legalizaciones y transportes, los cuales fueron atendidos en su totalidad, con corte a marzo 31 de 2018,  este indicador presenta un avance del 100% en la meta establecida.
El comportamiento de este indicador lo ubica en el rango de gestión de cumplimiento de la meta con una tendencia positiva, teniendo en cuenta que su comportamiento va desarrollándose de acuerdo a lo programado. </t>
  </si>
  <si>
    <r>
      <t xml:space="preserve">El indicador "Prestación de servicios requeridos para el desarrollo administrativo" arroja una ejecución del 100% para el mes de junio debido a que en este periodo se atendieron los 1.057 servicios requeridos en el mes.
</t>
    </r>
    <r>
      <rPr>
        <sz val="11"/>
        <rFont val="Calibri"/>
        <family val="2"/>
        <scheme val="minor"/>
      </rPr>
      <t>Para el mes de junio de 2018 se solicitaron en total 1057 servicios entre mantenimientos preventivos, mantenimientos correctivos, papelería, credenciales, pago de servicios públicos, vigilancia y seguridad, aseo y cafetería, comisiones, legalizaciones y transportes, los cuales fueron atendidos en su totalidad.
  MANTENIMIENTOS PREVENTIVOS 104
 MANTENIMIENTOS CORRECTIVOS 8
 SOLICITUDES DE PAPELERÍA   34
 SOLICITUD DE CREDENCIALES   6
 SERVICIOS PÚBLICOS  34
 VIGILANCIA Y SEGURIDAD   1
ASEO Y CAFETERÍA  1
 COMISIONES   389
LEGALIZACIONES  467
 TRANSPORTES   13
  TOTAL SOLICITUDES   1.057</t>
    </r>
    <r>
      <rPr>
        <sz val="11"/>
        <color theme="1"/>
        <rFont val="Calibri"/>
        <family val="2"/>
        <scheme val="minor"/>
      </rPr>
      <t xml:space="preserve">
En términos acumulados este indicador también presenta una ejecución del 100% ya que se atendieron los 5.911 servicios requeridos en lo corrido de la vigencia.
El comportamiento de este indicador lo ubica en el rango de gestión de cumplimiento de la meta con una tendencia positiva, teniendo en cuenta que su comportamiento va desarrollándose de acuerdo a lo programado.</t>
    </r>
  </si>
  <si>
    <t>El indicador "Prestación de servicios requeridos para el desarrollo administrativo" arroja una ejecución del100% para el mes de abril debido a que en este periodo se atendieron los 1.154 servicios requeridos en el mes.
Para el mes de abril de 2018 se solicitaron en total 1154 servicios entre mantenimientos preventivos, mantenimientos correctivos, papelería, credenciales, pago de servicios públicos, vigilancia y seguridad, aseo y cafetería, comisiones, legalizaciones y transportes, los cuales fueron atendidos en su totalidad.
MANTENIMIENTOS PREVENTIVOS 104
 MANTENIMIENTOS CORRECTIVOS 11
 SOLICITUDES DE PAPELERÍA   26
 SOLICITUD DE CREDENCIALES   11
 SERVICIOS PÚBLICOS  37
 VIGILANCIA Y SEGURIDAD   1
ASEO Y CAFETERÍA  1
 COMISIONES   510
LEGALIZACIONES  442
 TRANSPORTES   11
  TOTAL SOLICITUDES   1.154
En términos acumulados este indicador también presenta una ejecución del 100% ya que se atendieron los 3.572 servicios requeridos en lo corrido de la vigencia.
El comportamiento de este indicador lo ubica en el rango de gestión de cumplimiento de la meta con una tendencia positiva, teniendo en cuenta que su comportamiento va desarrollándose de acuerdo a lo programado.</t>
  </si>
  <si>
    <r>
      <t xml:space="preserve">El indicador "Prestación de servicios requeridos para el desarrollo administrativo" arroja una ejecución del 100% para el mes de mayo debido a que en este periodo se atendieron los 1.282 servicios requeridos en el mes.
</t>
    </r>
    <r>
      <rPr>
        <sz val="11"/>
        <rFont val="Calibri"/>
        <family val="2"/>
        <scheme val="minor"/>
      </rPr>
      <t>Para el mes de mayo de 2018 se solicitaron en total 1.282 servicios entre mantenimientos preventivos, mantenimientos correctivos, papelería, credenciales, pago de servicios públicos, vigilancia y seguridad, aseo y cafetería, comisiones, legalizaciones y transportes, los cuales fueron atendidos en su totalidad.
MANTENIMIENTOS PREVENTIVOS 104
 MANTENIMIENTOS CORRECTIVOS 22
 SOLICITUDES DE PAPELERÍA   19
 SOLICITUD DE CREDENCIALES   12
 SERVICIOS PÚBLICOS  26
 VIGILANCIA Y SEGURIDAD   1
ASEO Y CAFETERÍA  1
 COMISIONES   535
LEGALIZACIONES  552
 TRANSPORTES   10
  TOTAL SOLICITUDES   1.282</t>
    </r>
    <r>
      <rPr>
        <sz val="11"/>
        <color theme="1"/>
        <rFont val="Calibri"/>
        <family val="2"/>
        <scheme val="minor"/>
      </rPr>
      <t xml:space="preserve">
En términos acumulados este indicador también presenta una ejecución del 100% ya que se atendieron los 4.854 servicios requeridos en lo corrido de la vigencia.
El comportamiento de este indicador lo ubica en el rango de gestión de cumplimiento de la meta con una tendencia positiva, teniendo en cuenta que su comportamiento va desarrollándose de acuerdo a lo programado.</t>
    </r>
  </si>
  <si>
    <t>El indicador "Diagnóstico de la infraestructura realizada" durante el mes de mayo de 2018 presenta uan ejecución del 100%, debido a que se hizo entrega del diagnóstico de la infraestructura de las 4 sedes del MVCT.
Lo anterior ubica el rango de gestión de cumplimiento de la meta en sobresaliente, que indica que tiene una tendencia positiva y que se comportó de acuerdo a lo programado.</t>
  </si>
  <si>
    <t>El indicador "Diagnóstico de la infraestructura realizada" a junio de 2018 presenta uan ejecución del 100%, debido a que en el mes de mayo se hizo entrega del diagnóstico de la infraestructura de las 4 sedes del MVCT.
Lo anterior ubica el rango de gestión de cumplimiento de la meta en sobresaliente, que indica que tiene una tendencia positiva y que se cumplió con lo programado.</t>
  </si>
  <si>
    <t>El indicador "Avance de ejecución  plan anual de Adquisiciones formulado y actualizado de gastos Generales, de acuerdo a los linemientos de Colombia Compra eficiente"  arroja un resultado de 3,59% con corte a junio de 2018, debido a que la ejecución presupuestal de gastos generales en términos de compromisos es de $366.515.377,04 de los $10.204.062.000 programados para el año. 
En términos acumulados  arroja una ejecución del 54,13% debido a que la ejecución acumulada presupuestal de gastos generales en términos de compromisos es de $5.523.040.680,59 de los $10.204.062.000 programados para el año. 
Esto indica un comportamiento positivo del indicador acorde con lo programado para la vigencia.</t>
  </si>
  <si>
    <t>El indicador "Avance de ejecución  de las actividades de adecuación y mejoramiento" durante el mes de mayo de 2018 presentó una ejecución del 50% debido a: 
-Se realizó el diagnostico de la infraestructura de las sedes del MVCT.
Para la nueva sede la Subdirección de Servicios Administrativos, continúa con el desarrollo y consolidación de los componentes técnicos, jurídicos y financieros que permitan estructurar de forma adecuada las licitaciones y procesos de contratación necesarios para cumplir con las actividades previamente programadas.
Es importante resaltar que en desarrollo del contrato 549 de 2014 suscrito con EMTEL, se han presentado incumplimientos por parte del Contratista, respecto a las obligaciones contractuales adquiridas en virtud del precitado contrato; las cuales no han permitido recibir a satisfacción la nueva sede del MVCT y proceder de manera consecuente con las actividades de adecuación de las mismas.
En este sentido y teniendo en cuenta las observaciones y sugerencias emitidas en diferentes comités de contratación, se están evaluando  las acciones pertinentes y de carácter jurídico que permitan declarar un incumplimiento y posterior liquidación del contrato.
Para la nueva sede se realizaron empalmes en 4 tuberías de 4" pertenecientes a la red de aguas de lluvia, se reparo tubería de 6" de rebose para los tanques de almacenamiento de agua potable, agua tratada, agua de lluvia y red contraincendio, se hizo un cerramiento provisional en plastico a la escalera de emergencia costado norte para protegerla de la intemperie, se hizo un cerramiento en plástico en los ductos de extracción y adición de aire en la cubierta.
Para la Calle 18 en el primer piso baños se realizó el resane y pintura del techo, piso 7 se pinto la escalera de emergencia, piso 5 se realizó un cerramiento en madera dentro del centro de computo con la finalidad de obtener la temperatura deseada.
Para Botica se realizaron cambios de baldosa y ajusted en peldaños y maderas.
c</t>
  </si>
  <si>
    <t>El indicador "Avance de ejecución  de las actividades de adecuación y mejoramiento" al mes de junio de 2018 sigue presentando una ejecución del 50% debido a que en mayo se realizó el diagnostico de la infraestructura de las sedes del MVCT.
El indicador muestra una tendencia positiva que establece que se va cumpliendo de acuerdo a lo programado.</t>
  </si>
  <si>
    <t xml:space="preserve">El indicador "Actualización SIG" con corte al mes de enero presenta un avance de actualización del 100%, porcentaje arrojado por la ejecución de actividades definidas dentro del plan de trabajo del mismo. Se realizaron las 4 actividades programadas para este periodo. Lo anterior ubica al indicador en el rango de gestión de cumplimiento de la meta sobresaliente, que indica que tiene una tendencia positiva.
Para el mes de enero de 2018 se cumplieron con las actividades programadas las cuales se mencionan a continuación:
1. Capacitar informalmente en la metodología de riesgos a servidores públicos 
2. Hacer cronograma de mesas de trabajo.
3. Revisar mapa de riesgos por proceso en mesas de trabajo.
4. Seguimiento al mapa de riesgos e identificación de acciones complementarias de acuerdo con el resultado de la evaluación de OCI 2017 
</t>
  </si>
  <si>
    <t xml:space="preserve">El indicador "Actualización SIG" con corte al mes de marzo presenta un avance de actualización del 100%, porcentaje arrojado por la ejecución de actividades definidas dentro del plan de trabajo del mismo. Se realizaron 4 actividades de las 4 programadas para este periodo. 
En términos acumulados este indicador reporta la realización de 18 actividades de las 20 programadas para lo corrido de la vigencia reportando una ejecución del 90%.
Lo anterior ubica al indicador en el rango de gestión de cumplimiento de la meta sobresaliente, que indica que tiene una tendencia positiva.
Para el mes de marzo de 2018 se cumplieron 4 de las 4 actividades programadas, las cuales se mencionan a continuación:
1. Elaborar plan de trabajo para actualizar el SIG al  modelo de gestión de calidad ISO 9001:2015
2. Terminar tramite de revisión y aprobación de solicitudes pendientes de 2017.
3. Revisión y Actualización de Planes de Mejoramiento de los proceso
4. Capacitar en Matriz de requisitos de calidad vigente Procedimiento y formato. 
</t>
  </si>
  <si>
    <t xml:space="preserve">El indicador "Actualización SIG" con corte al mes de febrero presenta un avance de actualización del 83,33%, porcentaje arrojado por la ejecución de actividades definidas dentro del plan de trabajo del mismo. Se realizaron 10 actividades de las 12 programadas para este periodo. 
En términos acumulados este indicador reporta la realización de 14 activiaddes de las 16 programadas para lo corrido de la vigencia reportando una ejecución del 87,50%.
Lo anterior ubica al indicador en el rango de gestión de cumplimiento de la meta sobresaliente, que indica que tiene una tendencia positiva.
Para el mes de febrero de 2018 se cumplieron 10 de las 12 actividades pendientes, se mencionan a continuación:
1. Identificar las brechas para la integración al SIG del modelo de gestión de la calidad frente a los requisitos establecidos la norma NTC ISO 9001:2015
2. Consolidar cualitativa y cuantitativamente el reporte de producto no conforme
3. Control de solicitudes documentales
4. Listado maestro de documentos
5. Boletín de novedades documentales
6. Archivo
7. Capacitación del SIG en la Entidad
8. Plan de acción
9. SPI
10. Hoja de vida del indicador 
</t>
  </si>
  <si>
    <t xml:space="preserve">El indicador "Actualización SIG" con corte al mes de abril presenta un avance de actualización del 33,33%, porcentaje arrojado por la ejecución de actividades definidas dentro del plan de trabajo del mismo. Se realizaron 2 actividades de las 6 programadas para este periodo. 
En términos acumulados este indicador reporta la realización de 20 activiaddes de las 26 programadas para lo corrido de la vigencia reportando una ejecución del 76,92%.
Lo anterior ubica al indicador en el rango de gestión de cumplimiento de la meta sobresaliente, que indica que tiene una tendencia positiva.
Para el mes de abril de 2018 se cumplieron las actividades que se mencionan a continuación:
1. Identificar las brechas para la integración de MIPG versión 2.0 con el SIG a partir del resultado del autodiagnóstico  
2. Monitoreo de riesgos
</t>
  </si>
  <si>
    <t>El indicador "Actualización SIG" con corte al mes de mayo presenta un avance de actualización del 100%, porcentaje arrojado por la ejecución de actividades definidas dentro del plan de trabajo del mismo. Se realizó la actividad que se tenía programada para este periodo. 
En términos acumulados este indicador reporta la realización de 21 activiaddes de las 27 programadas para lo corrido de la vigencia reportando una ejecución del 77,78%.
Lo anterior ubica al indicador en el rango de gestión de cumplimiento de la meta sobresaliente, que indica que tiene una tendencia positiva.
En el mes de mayo la actividad que se desarrolló fue: 
1. Actualización de documentación prioritaria para auditoria (código anterior).</t>
  </si>
  <si>
    <t xml:space="preserve">El indicador "Actualización SIG" con corte al mes de junio presenta un avance de actualización del 75%, porcentaje arrojado por la ejecución de actividades definidas dentro del plan de trabajo del mismo. Se realizaron 3 actividades de las 4 programadas para este periodo. 
En términos acumulados este indicador reporta la realización de 24 actividades de las 31 programadas para lo corrido de la vigencia reportando una ejecución del 77,42%.
Lo anterior ubica al indicador en el rango de gestión de cumplimiento de la meta sobresaliente, que indica que tiene una tendencia positiva.
En el mes de junio las actividades que se desarrollaron fueron: 
1. Orientar y acompañar a los líderes de procesos en el cierre de brechas según plan de trabajo establecido.
2. Solicitar información a los participantes según las entradas de Revisión por la Dirección (Junio).
3. Sacar circular para restricción de solicitudes de actualización de documentación y documentación a revisar en mesas de trabajo de auditoria (Junio).
</t>
  </si>
  <si>
    <t>El indicador "Proyectos Viabilizados" arroja una ejecución del 100% con corte al mes de junio debido a que se viabilizaron 16 proyectos de los  16 que se llevaron a comité técnico.
Este resultado demuestra que se debe fortalecer el trabajo de asistencia técnica con los entes territoriales para que la evaluación de proyectos sido efectiva para el cumplimiento de los requisitos del procesos de evaluación.
En términos acumulados este indiacdor presenta un 96,88% de ejecución ya que debido a que se viabilizaron 31 proyectos de los 32 que se llevaron a comité técnico.
El comportamiento de este indicador lo ubica en el rango de gestión de cumplimiento de la meta con una tendencia positiva, teniendo en cuenta que se va cumpliendo de acuerdo a lo programado.</t>
  </si>
  <si>
    <t>El indicador "Conceptos Aprobados " arroja una ejecución del 88,24% con corte al mes de junio debido a que se aprobaron 15 conceptos de los 17 presentados en comité técnico.
En términos acumulados este indiacdor presenta un 86,84% de ejecución ya que debido a que se aprobaron 33 conceptos de los 38 presentados en comité técnico.
El comportamiento de este indicador lo ubica en el rango de gestión de cumplimiento de la meta con una tendencia positiva, teniendo en cuenta que se va cumpliendo de acuerdo a lo programado.</t>
  </si>
  <si>
    <r>
      <rPr>
        <sz val="11"/>
        <rFont val="Calibri"/>
        <family val="2"/>
        <scheme val="minor"/>
      </rPr>
      <t xml:space="preserve">El indicador "Entidades territoriales asistidas:
Para el Desarrollo del programa de Conexiones Intradomiciliarias -PCI de acuerdo con el Plan Nacional de Desarrollo" arroja una ejecución del 100% para el mes de junio debido a que se asistieron técnicamente 4 entidades territoriales. Las asistencias desarrolladas se realizan por demanda y se han realizado en su totalidad.
Las 4 asistencias técnicas realizadas en junio son:
• 12-13 de Junio: Guamal (Magdalena)
• 14 de Junio: La Jagua de Ibirico (Cesar)
• 14-15 Junio: Riohacha ( La Guajira)
• 6 y 7 de junio de 2018 Municipio de Guachené, Cauca
En términos acumulados a junio 30 de 2018, se prestó asistencia técnica a 7 entidades territoriales, en el desarrollo del programa de conexiones intradomiciliarias (PCI) de acuerdo con el Plan Nacional de Desarrollo.
</t>
    </r>
    <r>
      <rPr>
        <sz val="11"/>
        <color theme="1"/>
        <rFont val="Calibri"/>
        <family val="2"/>
        <scheme val="minor"/>
      </rPr>
      <t>El comportamiento de este indicador lo ubica en el rango de gestión de cumplimiento de la meta con una tendencia positiva, teniendo en cuenta que se le va dando cumplimiento del 100% a toda la demanda de asistencias técnicas requeridas por las estidades territoriales.</t>
    </r>
  </si>
  <si>
    <t>El indicador "Asistencias técnicas realizadas" arroja una ejecución del 100% para el mes de enero debido a que se realizaron 83 asistencias técnicas. Las asistencias desarrolladas se realizan por demanda y se han realizado en su totalidad. 
Con corte al 31 de marzo, se han realizado 83 asistencias tecnicas que han brindado información, orientación y asistencia, por medio de actividades de promoción y acompañamiento, para la implementación de políticas, normativa, planes, programas y proyectos, en materia de Agua Potable y Saneamiento Basico.
En términos acumulados este indicador hasta el mes de marzo presenta una ejecución del 41,50% ya que se han realizado 83 asistencias técnicas de las 200 que se tiene proyectado recibir solicitud durante la vigencia. 
El comportamiento de este indicador lo ubica en el rango de gestión de cumplimiento de la meta con una tendencia positiva, teniendo en cuenta que se le va dando cumplimiento del 100% a toda la demanda de asistencias técnicas requeridas por los municipios.</t>
  </si>
  <si>
    <t>El indicador "Asistencias técnicas realizadas" arroja una ejecución del 100% para el mes de junio debido a que se realizaron 77 asistencias técnicas. Las asistencias desarrolladas se realizan por demanda y se han realizado en su totalidad. 
En términos acumulados con corte al 30 de junio, se han realizado  160 asistencias tecnicas que han brindado información, orientación y asistencia, por medio de actividades de promoción y acompañamiento, para la implementación de políticas, normativa, planes, programas y proyectos, en materia de Agua Potable y Saneamiento Basico, que correponde a una ejecución del 80% ya que se han realizado 160 asistencias técnicas de las 200 que se tiene proyectado recibir solicitud durante la vigencia. 
El comportamiento de este indicador lo ubica en el rango de gestión de cumplimiento de la meta con una tendencia positiva, teniendo en cuenta que se le va dando cumplimiento del 100% a toda la demanda de asistencias técnicas requeridas por los municipios.</t>
  </si>
  <si>
    <t>El indicador "Nuevas personas beneficiadas con proyectos que mejoran provisión, calidad y/o continuidad de los servicios de acueducto y alcantarillado" del PND 2014-2018 tiene reporte anual con rezago de 90 días acorde con lo establecido en su hoja de vida. El último reporte oficial corresponde a la vigencia 2017 con 448.670 personas beneficiadas con proyectos que mejoran provisión, calidad y/o continuidad de los servicios de acueducto y alcantarillado.
No obstante lo anterior, este indicador, para el mes de marzo de la vigencia 2018, reporta que se ha beneficiado a 25.772 nuevas personas con proyectos que mejoran la provisión, calidad y/o continuidad de los servicios de acueducto y alcantarillado.</t>
  </si>
  <si>
    <t>El indicador "Nuevas personas beneficiadas con proyectos que mejoran provisión, calidad y/o continuidad de los servicios de acueducto y alcantarillado" del PND 2014-2018 tiene reporte anual con rezago de 90 días acorde con lo establecido en su hoja de vida. El último reporte oficial corresponde a la vigencia 2017 con 448.670 personas beneficiadas con proyectos que mejoran provisión, calidad y/o continuidad de los servicios de acueducto y alcantarillado.
No obstante lo anterior, este indicador, para el mes de mayo de la vigencia 2018, reporta que se ha beneficiado a 28.641 nuevas personas con proyectos que mejoran la provisión, calidad y/o continuidad de los servicios de acueducto y alcantarillado.</t>
  </si>
  <si>
    <t>El indicador "PDA con planes de aseguramiento en implementación" del PND 2014-2018 es un indicador acumulativo y se reporta semestralmente con un rezago de 30 días, razón por la cual el último reporte en SINERGIA hace referencia a la vigencia 2018, con un acumulado de 30 planes de aseguramiento en implementación, frente a una meta establecida en el Plan Nacional de Desarrollo hasta a la vigencia 2018 de 32 planes que corresponde a un 93,75% de ejecución. 
Durante el mes de junio se realizó seguimiento a los planes de aseguramiento aprobados; así mismo se realizó acompañamiento a Otros gestores del PDA pendientes de aprobación en la estructuración de los Planes de Aseguramiento, de conformidad con los lineamientos y directrices que para el efecto se dieron en la Subdirección. De otra parte se resalta el seguimiento y/o acompañamiento realizado en los departamentos de Antioquia, Amazonas, Boyacá, Caquetá, Casanare, Córdoba, Choco, Guainía, La Guajira, Magdalena, Nariño, Risaralda, Santander, San Andres, Putumayo y Vichada.</t>
  </si>
  <si>
    <t>El indicador "Asistencia técnica para la formulación e implementación de proyectos de vivienda urbana" durante el mes de junio de 2018 reporta que se realizaron 82 asistencias técnicas para la formulación e implementación de proyectos de vivienda urbana, para un total acumulado de 501 asistencias técnicas realizadas en la vigencia.
El comportamiento de este indicador lo ubica en el rango de gestión de cumplimiento de la meta con una tendencia positiva, teniendo en cuenta que se cumplió con la meta programada para la vigencia.</t>
  </si>
  <si>
    <t>El indicador "Municipios asistidos técnicamente  en procesos de mejoramiento integral de barrios" arroja un resultado de 3 municipios atendidos técnicamente en el mes de junio, para un total acumulado de 11 municipios atendidos en el año, lo cual indica un comportamiento positivo del indicador ya que se cumplió con el 100% de la meta establecida para la vigencia que corresponde a 11 municipios.
Los municipio asistidos técnicamente  en procesos de mejoramiento integral de barriosen en el junio son: 
1.Municipio de Cúcuta (Departamento N de Santander) 
2.Municipio de Neiva (Departamento del Huila) 
3.Municipio de Puerto Asís (Departamento del Putumayo)</t>
  </si>
  <si>
    <r>
      <t xml:space="preserve">El indicador "Actuaciones Urbanas Integrales Evaluadas" arroja un resultado de 1 actuación urbana integral evaluada en el mes de junio, para un total acumulado de 3 actuaciones urbanas en el año, lo cual indica un comportamiento positivo del indicador acorde con lo programado con un porcentaje de ejecución del 37,5%.
</t>
    </r>
    <r>
      <rPr>
        <sz val="11"/>
        <rFont val="Calibri"/>
        <family val="2"/>
        <scheme val="minor"/>
      </rPr>
      <t>Con corte al 30 de Junio de 2018, se entrega un (1) informe de evaluación de solicitudes de Actuaciones Urbanas Integrales. Este informe de primer semestre de 2018 que incluye: i) 3 Actuaciones Urbanas Integrales en Etapa de Prefactibilidad, MISN 2G VILLA DE LA ESPERANZA de Funza-Cundinamarca, MISN 2G MARCELIANO OSSA de Pereira-Risaralda y MISN 2G CIUDAD CENTRO de Ibagué-Tolima y ii) 4 Actuaciones Urbanas Integrales Adoptadas en etapa de formulación para Modificación de Adopción, MISN CIUDADELA GONZALO VALLEJO RESTREPO de Pereira-Risaralda, MISN PIENTA de Piedecuesta-Santander, MISN ALTOS DE SANTA ELENA de Cali-Valle y MISN SAN ANTONIO de Buenaventura-Valle.</t>
    </r>
  </si>
  <si>
    <t>El indicador "Estudios y Propuestas normativas y de política orientadas a optimizar el marco normativo en materia de Vivienda de desarrollo urbano y territorial sostenible" para el mes de junio de 2018 presenta una ejecución del 66,66% debido a que se formularon 2 propuestas normativas de las 3 que se tienen programadas para la vigencia.
Las propuestas normativas formuladas fueron las siguientes :
1. Propuesta normativa, memoria justificativa, publicación y memorando dirigido a la Oficina de Jurídica del proyecto de Resolución "Por la cual se reglamenta la Ley 1796 de 2016, en lo relacionado al porcentaje de las expensas derivadas de la función de los curadores urbanos que se destinará a la sostenibilidad de la vigencia que ejercerá la Superintendencia de Notariado y Registro" . 
2. Propuesta normativa, memoria justificativa, publicación y memorando dirigido a la Oficina de Jurídica del proyecto de Decreto "Por medio del cual se adiciona un capítulo 7, al libro 2, parte 2, título 6 del Decreto 1077 de 2015 Único Reglamentario del Sector Vivienda, Ciudad y Territorio, reglamentando los artículos 8 y 9 de la Ley 1796 de 2016 en relación con las medidas de protección al comprador de vivienda nueva y se dictan otras disposiciones".</t>
  </si>
  <si>
    <r>
      <t>El indicador "Municipios Capacitados y/o apoyados técnicamente para la revisión de los planes de ordenamiento Territorial (POT)" arroja un resultado de 3 municipios capacitados y/o apoyados técnicamente en el mes de junio, para un total acumulado de 40 municipios capacitados y/o apoyados en el año, lo cual indica un 100% de cumplimiento de la meta para la vigencia.
En el mes de junio, los días 31 de mayo y 1 de junio, se llevó a cabo una segunda jornada de capacitación en temas de revisión y ajuste en la ciudad de Cúcuta, contando con la participación de delegados de las administraciones municipales de los siguientes 3 municipios nuevos del departamento de Norte de Santander:  La PLaya. Ocaña y Tibú</t>
    </r>
    <r>
      <rPr>
        <sz val="11"/>
        <color rgb="FFFF0000"/>
        <rFont val="Calibri"/>
        <family val="2"/>
        <scheme val="minor"/>
      </rPr>
      <t xml:space="preserve">. 
</t>
    </r>
    <r>
      <rPr>
        <sz val="11"/>
        <color theme="1"/>
        <rFont val="Calibri"/>
        <family val="2"/>
        <scheme val="minor"/>
      </rPr>
      <t xml:space="preserve">
En términos acumulados durante la vigencia 2018 se han realizado las siguientes asistencias técnicas:
• Los días 26 y 27 de abril, se llevó a cabo una jornada de capacitación en temas de revisión y ajuste en la ciudad de Cúcuta, contando con la participación de delegados de las administraciones municipales de los siguientes 23 municipios nuevos del departamento de Norte de Santander: Abrego, Arboledas, Bochalema, Cachira, Cacota, Chinacota, Cúcuta, Cúcutilla, Durania, El Tarra, Hacari, Los Patios, Lourdes, Mutiscua, Pamplona, Pamplonita, Ragonvalia, Salazar, Santiago, Sardinata, Silos, Toledo, Villa Del Rosario.
• Los días 8 y 9 de mayo, se llevó a cabo una jornada de capacitación en temas de revisión y ajuste en la ciudad de Neiva, contando con la participación de delegados de las administraciones municipales de los siguientes 14 municipios nuevos del departamento del Huila: Aipe, Campoalegre, Colombia, La Argentina, La Plata, Nataga, Neiva, Oporapa, Palestina, Pitalito, San Agustín, Tarqui, Tello, Timaná.
• Los días 31 de mayo y 1 de junio, se llevó a cabo una segunda jornada de capacitación en temas de revisión y ajuste en la ciudad de Cúcuta, contando con la participación de delegados de las administraciones municipales de los siguientes 3 municipios nuevos del departamento de Norte de Santander: La Playa, Ocaña y Tibú.
</t>
    </r>
  </si>
  <si>
    <t xml:space="preserve">El indicador "Municipios capacitados en la elaboración del inventario de asentamientos en zonas de alto riesgo" arroja un resultado de 3 municipios capacitados en el mes de junio, para un total acumulado de 40 municipios capacitados y/o apoyados en el año, lo cual indica un comportamiento positivo del indicador acorde con lo programado cumpliendose con un 100% de la meta para la vigencia.
En el mes de junio, los días 5 y 6 de junio, se llevó a cabo una jornada de capacitación en temas relacionados con el Inventario de asentamientos en zonas de alto riesgo en la ciudad de Yopal, contando con la participación de delegados de las administraciones municipales de los siguientes 3 municipios nuevos del departamento del Casanare: Aguazul, Villanueva y Yopal.
En términos acumulados, durante la vigencia 2018 se han capacitado los siguientes Municipios:
• Los días 26 y 27 de abril, se llevó a cabo una jornada de capacitación en el tema Inventario de asentamientos en zonas de alto riesgo en la ciudad de Cúcuta, contando con la participación de delegados de las administraciones municipales de los siguientes 23 municipios nuevos del departamento de Norte de Santander: Abrego, Arboledas, Bochalema, Cachira, Cacota, Chinacota, Cúcuta, Cúcutilla, Durania, El Tarra, Hacari, Los Patios, Lourdes, Mutiscua, Pamplona, Pamplonita, Ragonvalia, Salazar, Santiago, Sardinata, Silos, Toledo, Villa Del Rosario.
• Los días 8 y 9 de mayo, se llevó a cabo una jornada de capacitación en tema  Inventario de asentamientos en zonas de alto riesgo en la ciudad de Neiva, contando con la participación de delegados de las administraciones municipales de los siguientes 14 municipios nuevos del departamento del Huila: Aipe, Campoalegre, Colombia, La Argentina, La Plata, Nataga, Neiva, Oporapa, Palestina, Pitalito, San Agustín, Tarqui, Tello, Timaná.
• Los días 5 y 6 de junio, se llevó a cabo una jornada de capacitación en temas relacionados con el Inventario de asentamientos en zonas de alto riesgo en la ciudad de Yopal, contando con la participación de delegados de las administraciones municipales de los siguientes 3 municipios nuevos del departamento del Casanare: Aguazul, Villanueva y Yopal.
</t>
  </si>
  <si>
    <t xml:space="preserve">
El indicador "Municipios capacitados en la incorporación de la gestión del riesgo en la revisión de sus POT" arroja un resultado de 4 municipios capacitados en el mes de junio, para un total acumulado de 40 municipios capacitados y/o apoyados en el año, lo cual indica un comportamiento positivo del indicador acorde con lo programado cumpliendose con un 100% de la meta para la vigencia.
En el mes de junio, los días 5 y 6 de junio, se llevó a cabo una jornada de capacitación en temas relacionados con la Incorporación de la gestión del riesgo en los POTen la ciudad de Yopal, contando con la participación de delegados de las administraciones municipales de los siguientes 4 municipios nuevos del departamento del Casanare: Aguazul, La Salina, Villanueva y Yopal.
En términos acumulados, durante la vigencia 2018 se han capacitado los siguientes Municipios:
• Los días 26 y 27 de abril, se llevó a cabo una jornada de capacitación en Incorporación de la gestión del riesgo en la ciudad de Cúcuta, contando con la participación de delegados de las administraciones municipales de los siguientes 23 municipios nuevos del departamento de Norte de Santander: Abrego, Arboledas, Bochalema, Cachira, Cacota, Chinacota, Cúcuta, Cúcutilla, Durania, El Tarra, Hacari, Los Patios, Lourdes, Mutiscua, Pamplona, Pamplonita, Ragonvalia, Salazar, Santiago, Sardinata, Silos, Toledo, Villa Del Rosario.
• Los días 8 y 9 de mayo, se llevó a cabo una jornada de capacitación en Incorporación de la gestión del riesgo en la ciudad de Neiva, contando con la participación de delegados de las administraciones municipales de los siguientes 13 municipios nuevos del departamento del Huila: Aipe, Campoalegre, Colombia, La Argentina, La Plata, Nataga,  Oporapa, Palestina, Pitalito, San Agustín, Tarqui, Tello, Timaná.
• Los días 5 y 6 de junio, se llevó a cabo una jornada de capacitación en temas relacionados con la Incorporación de la gestión del riesgo en los POT, en la ciudad de Yopal, contando con la participación de delegados de las administraciones municipales de los siguientes 4 municipios nuevos del departamento del Casanare: Aguazul, La Salina, Villanueva y Yopal.
</t>
  </si>
  <si>
    <t>Las actividades en el marco del este indicador "Porcentaje de avance del Programa de Gestión Documental elaborado e implementado" están programadas a partir del segundo semestre del año.
Las nuevas fechas de inicio para este indicador son: 05/07/2018 para la implementacion del PINAR y 13/08/2018 para la actualizacion del PGD; por lo tanto el indicador no reporta avance a corte de junio.</t>
  </si>
  <si>
    <t>Las actividades en el marco del este indicador "Intervención del Archivo del archivo central ubicado en la Sede la Fragua del MVCT" están programadas a partir del segundo semestre del año.
La nueva fecha de inicio para este indiacdor será el 01/09/2018.</t>
  </si>
  <si>
    <t>El indicador "Facilitar el acceso a un documento o grupo de documentos con el fin de garantizar el derecho que tienen los usuarios para acceder a la información contenida en los archivos públicos propendiendo por la disminución de tiempos de atención" arroja una ejecución en el mes de junio del 95,11% debido a que se atendieron las 175 solicitudes de consulta y préstamos dentro de los tiempos establecidos por ley de las 184 solicitudes que fueron recibidas durante el mes.
En términos acumulados para la vigencia este indicador también reporta un 99,13% de ejecución ya que se atendieron las 1.022 solicitudes de consulta y préstamos dentro de los tiempos establecidos por ley de las 1.031 solicitudes que fueron recibidas durante la vigencia.
El comportamiento de este indicador lo ubica en el rango de gestión de cumplimiento de la meta con una tendencia positiva, teniendo en cuenta que la ejecución a la fecha está acorde a lo programado.</t>
  </si>
  <si>
    <t>El indicador "Estado de atención de Peticiones, Quejas, Reclamos y Sugerencias -PQRS" arroja una ejecución del 94,03% para el mes de junio debido a que las PQRS tramitadas fueron 3.594 y las recibidas 3.822.
En términos acumulados este indicador hasta el mes de junio presenta una ejecución del 88,22% ya que el total de PQRS tramitadas es de 20.435 y el total de PQRS recibidas es de 23.164 durante el año.
El comportamiento de este indicador lo ubica en el rango de gestión de cumplimiento de la meta con una tendencia positiva, teniendo en cuenta que la ejecución a la fecha está acorde a lo programado.</t>
  </si>
  <si>
    <t>El indicador "Satisfacción del usuario en la atención personalizada " arroja una ejecución del 71,43% para el mes de junio debido a que hubo 10 ususrios satisfechos en la atención personalizada de los 14 usurios atendidos durante el mes.
En términos acumulados este indicador hasta el mes de junio presenta una ejecución del 62,64% ya que  hubo 114 ususrios satisfechos en la atención personalizada de los 182 usurios  atendidos durante el año.
El comportamiento de este indicador lo ubica en el rango de gestión de cumplimiento de la meta con una tendencia positiva, teniendo en cuenta que la ejecución a la fecha está acorde a lo programado.</t>
  </si>
  <si>
    <t>El indicador "Tiempo promedio en la respuesta a los derechos de petición" establece que en el mes de junio el tiempo promedio en la respuesta a los 7.068 derechos de petición tramitados durante el mes fué de 1,76 días; lo cual indica un comportamiento positivo del indicador al situarse por debajo del plazo máximo de 8 días establecidos como meta del indicador. Este tiempo se encuentren dentro de los términos legales de respuesta.
En términos acumulados este indicador establece que el tiempo promedio en la respuesta a los 43.848 derechos de petición tramitados durante lo corrido de la vigencia  fué de 2,01 días; lo cual indica un comportamiento positivo del indicador al situarse por debajo del plazo máximo de 8 días establecidos como meta del indicador. Este tiempo se encuentren dentro de los términos legales de respuesta.</t>
  </si>
  <si>
    <t>El indicador "Requerimientos atendidos" durante el mes de junio de 2018 presenta una ejecución del 92,99%  debido a que en este periodo se cerraron 504 casos de los 542 que se abrieron en el mes.
En términos acumulados este indicador reporta una ejecución del 91,29% debido a que en este periodo se cerraron 4.184 casos de los 4.583 que se abrieron en lo corrido de la vigencia; lo cual lo ubica en el rango de gestión de cumplimiento de la meta en sobresaliente, que indica que tiene una tendencia positiva.</t>
  </si>
  <si>
    <t>El indicador "Tiempo de solución de requerimientos" durante el mes de mayo de 2018 presenta una ejecución del 45,96%, debido a que en este periodo se cerraron 551 casos en los tiempos establecidos de la totalidad de los casos  cerrados y abiertos vencidos en el mes, situándose por debajo del porcentaje establecido como meta que corresponde al 80%.
Durante el mes de mayo del registro total de casos, fueron atendidos y cerrados 347 requerimientos; dentro de los Acuerdos de Niveles de Servicios - ANS establecidos para la gestión de las solicitudes, se identificó que 551 fueron solucionados de manera oportuna y 204 fuera de los tiempos establecidos. Estos resultados se consideran  deficientes porque no se cumplió a cabalidad con la atención dentro de los acuerdos establecidos. El porcentaje de ejecución del 45,96% está por debajo del 80% que es la meta mínima establecida
En términos acumulados este indicador reporta una ejecución del 63,79% debido a que en este periodo se cerraron 3.680  casos en los tiempos establecidos de la totalidad de los casos cerrados y abiertos vencidos en la vigencia; 
lo anterior ubica el rango de gestión de cumplimiento de la meta  en deficiente, que indica que tiene una tendencia negativa.</t>
  </si>
  <si>
    <t>El indicador "Tiempo de solución de requerimientos" durante el mes de junio de 2018 presenta una ejecución del 56,77%, debido a que en este periodo se cerraron 504 casos en los tiempos establecidos de la totalidad de los casos  cerrados y abiertos vencidos en el mes, situándose por debajo del porcentaje establecido como meta que corresponde al 80%.
Durante el mes de junio del registro total de casos, fueron atendidos y cerrados 365 requerimientos; dentro de los Acuerdos de Niveles de Servicios - ANS establecidos para la gestión de las solicitudes, se identificó que 504 fueron solucionados de manera oportuna y 139 fuera de los tiempos establecidos. Estos resultados se consideran  deficientes porque no se cumplió a cabalidad con la atención dentro de los acuerdos establecidos. El porcentaje de ejecución del 56,77% está por debajo del 80% que es la meta mínima establecida
En términos acumulados este indicador reporta una ejecución del 62,91% debido a que en este periodo se cerraron 4.184  casos en los tiempos establecidos de la totalidad de los casos cerrados y abiertos vencidos en la vigencia; 
lo anterior ubica el rango de gestión de cumplimiento de la meta  en deficiente, que indica que tiene una tendencia negativa.a.</t>
  </si>
  <si>
    <t>El indicador "Tiempo de solución de requerimientos" durante el mes de abril de 2018 presenta una ejecución del 60,87%, debido a que en este periodo se cerraron 592 casos en los tiempos establecidos de la totalidad de los casos  cerrados y abiertos vencidos en el mes, situándose por debajo del porcentaje establecido como meta que corresponde al 80%.
Durante el mes de abril del registro total de casos, fueron atendidos y cerrados 448 requerimientos; dentro de los Acuerdos de Niveles de Servicios - ANS establecidos para la gestión de las solicitudes, se identificó que 592 fueron solucionados de manera oportuna y 144 fuera de los tiempos establecidos. Estos resultados se consideran  deficientes porque no se cumplió a cabalidad con la atención dentro de los acuerdos establecidos. El porcentaje de ejecución del 60,87% está por debajo del 80% que es la meta mínima establecida
En términos acumulados este indicador reporta una ejecución del 67,39% debido a que en este periodo se cerraron 3.129  casos en los tiempos establecidos de la totalidad de los casos cerrados y abiertos vencidos en la vigencia; 
lo anterior ubica el rango de gestión de cumplimiento de la meta  en deficiente, que indica que tiene una tendencia negativa.</t>
  </si>
  <si>
    <t>El indicador "Tiempo de solución de requerimientos" durante el mes de marzo de 2018 presenta una ejecución del 71,19%, debido a que en este periodo se cerraron 758 casos en los tiempos establecidos de la totalidad de los casos  cerrados y abiertos vencidos en el mes, situándose por debajo del porcentaje establecido como meta que corresponde al 80%.
Durante el mes de marzo del registro total de casos, fueron atendidos y cerrados 630 requerimientos; dentro de los Acuerdos de Niveles de Servicios - ANS establecidos para la gestión de las solicitudes, se identificó que 758 fueron solucionados de manera oportuna y 127 fuera de los tiempos establecidos. Estos resultados se consideran  deficientes porque no se cumplió a cabalidad con la atención dentro de los acuerdos establecidos. El porcentaje de ejecución del 71,19% está por debajo del 80% que es la meta mínima establecida
En términos acumulados este indicador reporta una ejecución del 68,99% debido a que en este periodo se cerraron 2.537  casos en los tiempos establecidos de la totalidad de los casos cerrados y abiertos vencidos en la vigencia; 
lo anterior ubica el rango de gestión de cumplimiento de la meta  en deficiente, que indica que tiene una tendencia negativa.</t>
  </si>
  <si>
    <t xml:space="preserve">El indicador "Tiempo de solución de requerimientos" durante el mes de febrero de 2018 presenta una ejecución del 71,15%, debido a que en este periodo se cerraron 1.151 casos en los tiempos establecidos de la totalidad de los casos  cerrados y abiertos vencidos en el mes, situándose por debajo del porcentaje establecido como meta que corresponde al 80%.
Durante el mes de febrero del registro total de casos, fueron atendidos y cerrados 957 requerimientos; dentro de los Acuerdos de Niveles de Servicios - ANS establecidos para la gestión de las solicitudes, se identificó que 1.151 fueron solucionados de manera oportuna y 194 fuera de los tiempos establecidos. Estos resultados se consideran  deficientes porque no se cumplió a cabalidad con la atención dentro de los acuerdos establecidos. El porcentaje de ejecución del 71,15% está por debajo del 80% que es la meta mínima establecida.
En términos acumulados este indicador reporta una ejecución del 68,07% debido a que en este periodo se cerraron 1.779  casos en los tiempos establecidos de la totalidad de los casos cerrados y abiertos vencidos en la vigencia; 
lo anterior ubica el rango de gestión de cumplimiento de la meta  en deficiente, que indica que tiene una tendencia negativa.
</t>
  </si>
  <si>
    <t>El indicador "Tiempo de solución de requerimientos" durante el mes de enero de 2018 presenta una ejecución del 62,69%, debido a que en este periodo se cerraron la 628 casos en los tiempos establecidos de la totalidad de los casos  cerrados y abiertos vencidos en el mes, situándose por debajo del porcentaje establecido como meta que corresponde al 80% .
Durante el mes de enero del registro total de casos, fueron atendidos y cerrados 484 requerimientos; dentro de los Acuerdos de Niveles de Servicios - ANS establecidos para la gestión de las solicitudes, se identificó que 628 fueron solucionados de manera oportuna y 144 fuera de los tiempos establecidos. Estos resultados se consideran  deficientes porque no se cumplió a cabalidad con la atención dentro de los acuerdos establecidos. El porcentaje de ejecución del 62,69% está por debajo del 80% que es la meta mínima establecida.
Lo anterior ubica el rango de gestión de cumplimiento de la meta  en deficiente, que indica que tiene una tendencia negativa.</t>
  </si>
  <si>
    <t>Seguimiento a la apropiación comprometida del MVCT Y FONVIVIENDA</t>
  </si>
  <si>
    <t xml:space="preserve">Indicador "Porcentaje de avance componente GEL - Seguridad y privacidad en la Información". 
El reporte de este indicador tiene como fuente de información los resultados y el análisis del Formulario Único de Reporte de Avances de la Gestión – FURAG 2017  destacando las actividades de cada uno de los componentes de la estrategia de Gobierno Digital, reporta un avance de 77.5%, con referencia a la meta programada para esta vigencia del 100%.
Sobresale el apoyo de la alta dirección y la aprobación de las políticas de seguridad de la información y de gestión de datos personales, igualmente ya se han realizado campañas de sensibilización al interior del ministerio y se elaboró el manual y la guía para el levantamiento de los activos de información y sus riesgos.
Actualmente se esperan los nuevos lineamientos para la medición de la política de Gobierno Digital. Igualmente a partir del nuevo Decreto 1008 de junio 14 de 2018 donde se establecen los nuevos lineamientos de la política de Gobierno digital (antes estrategia de Gobierno en línea); los componentes definidos en la nueva política son solo dos: Tic para el Estado y Tic para la Sociedad. Por ende los 4 componentes definidos en la estrategia anterior pierden su vigencia.
</t>
  </si>
  <si>
    <t xml:space="preserve">
El indicador "Porcentaje de avance componente GEL - TIC para Gobierno Abierto". El reporte de este indicador tiene como fuente de información los resultados y el análisis del Formulario Único de Reporte de Avances de la Gestión – FURAG 2017  destacando las actividades de cada uno de los componentes de la estrategia de Gobierno Digital, reporta un avance de 82.1%, con referencia a la meta programada para esta vigencia del 100%.
Se destaca el empoderamiento de los ciudadanos a partir del acceso a la información del ministerio a través del botón de transparencia, que se tiene dispuesto para tal fin en la página WEB y la publicación de 11 dataset en la plataforma de datos abiertos del gobierno nacional.
Actualmente se esperan los nuevos lineamientos para la medición de la política de Gobierno Digital. Igualmente a partir del nuevo Decreto 1008 de junio 14 de 2018 donde se establecen los nuevos lineamientos de la política de Gobierno digital (antes estrategia de Gobierno en línea); los componentes definidos en la nueva política son solo dos: Tic para el Estado y Tic para la Sociedad. Por ende los 4 componentes definidos en la estrategia anterior pierden su vigencia.
</t>
  </si>
  <si>
    <t xml:space="preserve">El indicador "Porcentaje de avance componente GEL - TIC para la Gestión". El reporte de este indicador tiene como fuente de información los resultados y el análisis del Formulario Único de Reporte de Avances de la Gestión – FURAG 2017  destacando las actividades de cada uno de los componentes de la estrategia de Gobierno Digital, reporta un avance de 65.2%, con referencia a la meta programada para esta vigencia del 100%.
En este punto se destaca la existencia de un Plan Estratégico de la Información y las Comunicaciones - Petic -, el cual ha sido el derrotero de los proyectos de TI 2013-2019, teniendo en cuenta la limitación de recursos destinados a TI.  Igualmente a nivel del Viceministerio de Agua se implementó la primera fase del Sistema Nacional de Inversiones SINAS y se inició el proceso de utilización de servicios en la Nube.
Actualmente se esperan los nuevos lineamientos para la medición de la política de Gobierno Digital. Igualmente a partir del nuevo Decreto 1008 de junio 14 de 2018 donde se establecen los nuevos lineamientos de la política de Gobierno digital (antes estrategia de Gobierno en línea); los componentes definidos en la nueva política son solo dos: Tic para el Estado y Tic para la Sociedad. Por ende los 4 componentes definidos en la estrategia anterior pierden su vigencia.
</t>
  </si>
  <si>
    <t xml:space="preserve">Indicador "Porcentaje de avance componente GEL - TIC para Servicios". El reporte de este indicador tiene como fuente de información los resultados y el análisis del Formulario Único de Reporte de Avances de la Gestión – FURAG 2017  destacando las actividades de cada uno de los componentes de la estrategia de Gobierno Digital, reporta un avance de 79.5%, con referencia a la meta programada para esta vigencia del 100%.
En este componente el ministerio ha tenido un comportamiento sobresaliente en poner a disposición por diferentes medios electrónicos a los ciudadanos  la posibilidad de realizar sus peticiones, quejas, reclamos y solicitudes, así como haber dado respuesta a las mismas en los tiempos exigidos por la Ley. Adicionalmente, se puso a disposición el trámite en línea de movilizaciones para retiro de ahorros para los usuarios que no les han aprobado el subsidio de vivienda.
Actualmente se esperan los nuevos lineamientos para la medición de la política de Gobierno Digital. Igualmente a partir del nuevo Decreto 1008 de junio 14 de 2018 donde se establecen los nuevos lineamientos de la política de Gobierno digital (antes estrategia de Gobierno en línea); los componentes definidos en la nueva política son solo dos: Tic para el Estado y Tic para la Sociedad. Por ende los 4 componentes definidos en la estrategia anterior pierden su vigencia.
</t>
  </si>
  <si>
    <t xml:space="preserve">El indicador "Seguimiento a la Apropiación Comprometida del MVCT Y FONVIVIENDA " arroja una ejecución del 44.79% para el mes de enero debido a que el presupuesto comprometido para este periodo fue de $1.706.284.092.604,83 y el presupuesto apropiado para la vigencia es de $3.809.858.820.144.
El comportamiento de este indicador lo ubica en el rango de gestión de cumplimiento de la meta con una tendencia positiva, teniendo en cuenta que las obligaciones a la fecha están acordes a lo programado.
</t>
  </si>
  <si>
    <t xml:space="preserve">El indicador "Seguimiento a la Apropiación Comprometida del MVCT Y FONVIVIENDA"  arroja una ejecución del 4.63% para el mes de febrero debido a que el presupuesto comprometido para este periodo fue de $176.234.861.412,41y el presupuesto apropiado para la vigencia es de $3.809.858.820.144.
En términos acumulados este indicador presenta una ejecución del 49.41% ya que se tiene un presupuesto comprometido de $1.882.518.954.017,24 y un presupuesto apropiado para la vigencia de $3.809.858.820.144.
El comportamiento de este indicador lo ubica en el rango de gestión de cumplimiento de la meta con una tendencia positiva, teniendo en cuenta que las obligaciones a la fecha están acordes a lo programado.
</t>
  </si>
  <si>
    <t xml:space="preserve">El indicador " Seguimiento a la Apropiación Comprometida del MVCT Y FONVIVIENDA " arroja una ejecución del 8.59% para el mes de marzo debido a que el presupuesto comprometido para este periodo fue de $327.376.080.808,44 y el presupuesto apropiado para la vigencia es de $3.809.858.820.144.
En términos acumulados este indicador presenta una ejecución del 58% ya que se tiene un presupuesto comprometido de $2.209.895.034.825,68 y un presupuesto apropiado para la vigencia de $3.809.858.820.144.
El comportamiento de este indicador lo ubica en el rango de gestión de cumplimiento de la meta con una tendencia positiva, teniendo en cuenta que las obligaciones a la fecha están acordes a lo programado.
</t>
  </si>
  <si>
    <t xml:space="preserve">El indicador " Seguimiento a la Apropiación Comprometida del MVCT Y FONVIVIENDA " arroja una ejecución del 4.35% para el mes de abril debido a que el presupuesto comprometido para este periodo fue de $165.913.984.705,97 y el presupuesto apropiado para la vigencia es de $3.809.858.820.144.
En términos acumulados este indicador presenta una ejecución del 62.36% ya que se tiene un presupuesto comprometido de $2.375.809.019.531,65 y un presupuesto apropiado para la vigencia de $3.809.858.820.144.
El comportamiento de este indicador lo ubica en el rango de gestión de cumplimiento de la meta con una tendencia positiva, teniendo en cuenta que las obligaciones a la fecha están acordes a lo programado.
</t>
  </si>
  <si>
    <t xml:space="preserve">El indicador " Seguimiento a la Apropiación Comprometida del MVCT Y FONVIVIENDA " arroja una ejecución del 4.36% para el mes de mayo debido a que el presupuesto comprometido para este periodo fue de $166.064.645.537,12y el presupuesto apropiado para la vigencia es de $3.809.858.820.144.
En términos acumulados este indicador presenta una ejecución del 66.72% ya que se tiene un presupuesto comprometido de $2.541.873.665.068,77 y un presupuesto apropiado para la vigencia de $3.809.858.820.144.
El comportamiento de este indicador lo ubica en el rango de gestión de cumplimiento de la meta con una tendencia positiva, teniendo en cuenta que las obligaciones a la fecha están acordes a lo programado.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</si>
</sst>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1"/>
      <color theme="1"/>
      <name val="Calibri"/>
      <family val="2"/>
      <scheme val="minor"/>
    </font>
    <font>
      <b/>
      <sz val="11"/>
      <name val="Arial"/>
      <family val="2"/>
    </font>
  </fonts>
  <fills count="12">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220">
    <xf numFmtId="0" fontId="0" fillId="0" borderId="0" xfId="0"/>
    <xf numFmtId="0" fontId="0" fillId="2" borderId="0" xfId="0" applyFill="1"/>
    <xf numFmtId="0" fontId="0" fillId="0" borderId="0" xfId="0" applyFill="1"/>
    <xf numFmtId="0" fontId="0" fillId="3" borderId="0" xfId="0" applyFill="1"/>
    <xf numFmtId="0" fontId="0" fillId="0" borderId="1" xfId="0" applyFill="1" applyBorder="1" applyAlignment="1">
      <alignment horizontal="center" vertical="center"/>
    </xf>
    <xf numFmtId="2"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xf>
    <xf numFmtId="10" fontId="0" fillId="0" borderId="1" xfId="1" applyNumberFormat="1" applyFont="1" applyFill="1" applyBorder="1" applyAlignment="1">
      <alignment horizontal="center" vertical="center" wrapText="1"/>
    </xf>
    <xf numFmtId="1" fontId="0" fillId="0" borderId="1" xfId="0" applyNumberFormat="1" applyFill="1" applyBorder="1" applyAlignment="1">
      <alignment horizontal="center" vertical="center"/>
    </xf>
    <xf numFmtId="0" fontId="0" fillId="0" borderId="0" xfId="0" applyFill="1" applyAlignment="1">
      <alignment wrapText="1"/>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wrapText="1"/>
    </xf>
    <xf numFmtId="3" fontId="0" fillId="0" borderId="1" xfId="0" applyNumberFormat="1" applyFill="1" applyBorder="1" applyAlignment="1">
      <alignment horizontal="center" vertical="center"/>
    </xf>
    <xf numFmtId="0" fontId="3" fillId="0" borderId="0" xfId="0" applyFont="1" applyFill="1"/>
    <xf numFmtId="9" fontId="0" fillId="0" borderId="1" xfId="0" applyNumberForma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vertical="center"/>
    </xf>
    <xf numFmtId="0" fontId="1" fillId="0" borderId="1" xfId="0" applyFont="1" applyFill="1" applyBorder="1" applyAlignment="1">
      <alignment horizontal="center" vertical="center"/>
    </xf>
    <xf numFmtId="0" fontId="0" fillId="0" borderId="1" xfId="0" applyFill="1" applyBorder="1" applyAlignment="1">
      <alignment horizontal="justify" vertical="center" wrapText="1"/>
    </xf>
    <xf numFmtId="3" fontId="0" fillId="0" borderId="1" xfId="0" applyNumberFormat="1" applyFill="1" applyBorder="1" applyAlignment="1">
      <alignment horizontal="center" vertical="center" wrapText="1"/>
    </xf>
    <xf numFmtId="3" fontId="0" fillId="0" borderId="1" xfId="0" applyNumberForma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4" fontId="0" fillId="0" borderId="1" xfId="0" applyNumberFormat="1" applyFill="1" applyBorder="1" applyAlignment="1">
      <alignment horizontal="center" vertical="center"/>
    </xf>
    <xf numFmtId="2" fontId="0" fillId="0" borderId="3"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9" fontId="0" fillId="0" borderId="1" xfId="1" applyFont="1" applyFill="1" applyBorder="1" applyAlignment="1">
      <alignment horizontal="center" vertical="center"/>
    </xf>
    <xf numFmtId="0" fontId="2" fillId="0" borderId="1" xfId="0" applyFont="1" applyFill="1" applyBorder="1" applyAlignment="1">
      <alignment horizontal="center" vertical="center"/>
    </xf>
    <xf numFmtId="15" fontId="2" fillId="0" borderId="1" xfId="0" applyNumberFormat="1" applyFont="1" applyFill="1" applyBorder="1" applyAlignment="1">
      <alignment horizontal="center" vertical="center"/>
    </xf>
    <xf numFmtId="0" fontId="3" fillId="0" borderId="1" xfId="0" applyFont="1" applyFill="1" applyBorder="1" applyAlignment="1">
      <alignment vertical="center"/>
    </xf>
    <xf numFmtId="9" fontId="0" fillId="0" borderId="1" xfId="1" applyFont="1" applyFill="1" applyBorder="1" applyAlignment="1">
      <alignment vertical="center"/>
    </xf>
    <xf numFmtId="0" fontId="5"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4" borderId="1" xfId="0" applyFont="1" applyFill="1" applyBorder="1" applyAlignment="1">
      <alignment horizontal="center" vertical="center" wrapText="1"/>
    </xf>
    <xf numFmtId="3" fontId="0" fillId="4" borderId="1" xfId="0" applyNumberFormat="1" applyFill="1" applyBorder="1" applyAlignment="1">
      <alignment horizontal="center" vertical="center"/>
    </xf>
    <xf numFmtId="0" fontId="0" fillId="4" borderId="1" xfId="0" applyNumberFormat="1" applyFill="1" applyBorder="1" applyAlignment="1">
      <alignment horizontal="center" vertical="center"/>
    </xf>
    <xf numFmtId="4" fontId="0" fillId="4" borderId="1" xfId="0" applyNumberFormat="1" applyFill="1" applyBorder="1" applyAlignment="1">
      <alignment horizontal="center" vertical="center"/>
    </xf>
    <xf numFmtId="0" fontId="0" fillId="4" borderId="0" xfId="0" applyFill="1"/>
    <xf numFmtId="0" fontId="1" fillId="5" borderId="1" xfId="0" applyFont="1" applyFill="1" applyBorder="1" applyAlignment="1">
      <alignment horizontal="center" vertical="center" wrapText="1"/>
    </xf>
    <xf numFmtId="0" fontId="0" fillId="5" borderId="1" xfId="0" applyNumberFormat="1" applyFill="1" applyBorder="1" applyAlignment="1">
      <alignment horizontal="center" vertical="center" wrapText="1"/>
    </xf>
    <xf numFmtId="3" fontId="0" fillId="5" borderId="1" xfId="0" applyNumberFormat="1" applyFill="1" applyBorder="1" applyAlignment="1">
      <alignment horizontal="center" vertical="center"/>
    </xf>
    <xf numFmtId="0" fontId="0" fillId="5" borderId="1" xfId="0" applyNumberFormat="1" applyFill="1" applyBorder="1" applyAlignment="1">
      <alignment horizontal="center" vertical="center"/>
    </xf>
    <xf numFmtId="0" fontId="2" fillId="5" borderId="1" xfId="0" applyNumberFormat="1" applyFont="1" applyFill="1" applyBorder="1" applyAlignment="1">
      <alignment horizontal="center" vertical="center"/>
    </xf>
    <xf numFmtId="4" fontId="0" fillId="5" borderId="1" xfId="0" applyNumberFormat="1" applyFill="1" applyBorder="1" applyAlignment="1">
      <alignment horizontal="center" vertical="center"/>
    </xf>
    <xf numFmtId="1" fontId="0" fillId="5" borderId="1" xfId="0" applyNumberFormat="1" applyFill="1" applyBorder="1" applyAlignment="1">
      <alignment horizontal="center" vertical="center"/>
    </xf>
    <xf numFmtId="0" fontId="0" fillId="5" borderId="0" xfId="0" applyFill="1"/>
    <xf numFmtId="0" fontId="1" fillId="6" borderId="1" xfId="0" applyFont="1" applyFill="1" applyBorder="1" applyAlignment="1">
      <alignment horizontal="center" vertical="center" wrapText="1"/>
    </xf>
    <xf numFmtId="0" fontId="0" fillId="6" borderId="1" xfId="0" applyNumberFormat="1" applyFill="1" applyBorder="1" applyAlignment="1">
      <alignment horizontal="center" vertical="center" wrapText="1"/>
    </xf>
    <xf numFmtId="3" fontId="0" fillId="6" borderId="1" xfId="0" applyNumberFormat="1" applyFill="1" applyBorder="1" applyAlignment="1">
      <alignment horizontal="center" vertical="center"/>
    </xf>
    <xf numFmtId="0" fontId="0" fillId="6" borderId="1" xfId="0" applyNumberFormat="1" applyFill="1" applyBorder="1" applyAlignment="1">
      <alignment horizontal="center" vertical="center"/>
    </xf>
    <xf numFmtId="0" fontId="2" fillId="6" borderId="1" xfId="0" applyNumberFormat="1" applyFont="1" applyFill="1" applyBorder="1" applyAlignment="1">
      <alignment horizontal="center" vertical="center"/>
    </xf>
    <xf numFmtId="4" fontId="0" fillId="6" borderId="1" xfId="0" applyNumberFormat="1" applyFill="1" applyBorder="1" applyAlignment="1">
      <alignment horizontal="center" vertical="center"/>
    </xf>
    <xf numFmtId="1" fontId="0" fillId="6" borderId="1" xfId="0" applyNumberFormat="1" applyFill="1" applyBorder="1" applyAlignment="1">
      <alignment horizontal="center" vertical="center"/>
    </xf>
    <xf numFmtId="0" fontId="0" fillId="6" borderId="0" xfId="0" applyFill="1"/>
    <xf numFmtId="0" fontId="1" fillId="7" borderId="1" xfId="0" applyFont="1" applyFill="1" applyBorder="1" applyAlignment="1">
      <alignment horizontal="center" vertical="center" wrapText="1"/>
    </xf>
    <xf numFmtId="3" fontId="0" fillId="7" borderId="1" xfId="0" applyNumberFormat="1" applyFill="1" applyBorder="1" applyAlignment="1">
      <alignment horizontal="center" vertical="center"/>
    </xf>
    <xf numFmtId="0" fontId="0" fillId="7" borderId="1" xfId="0" applyNumberFormat="1" applyFill="1" applyBorder="1" applyAlignment="1">
      <alignment horizontal="center" vertical="center"/>
    </xf>
    <xf numFmtId="4" fontId="0" fillId="7" borderId="1" xfId="0" applyNumberFormat="1" applyFill="1" applyBorder="1" applyAlignment="1">
      <alignment horizontal="center" vertical="center"/>
    </xf>
    <xf numFmtId="0" fontId="0" fillId="7" borderId="0" xfId="0" applyFill="1"/>
    <xf numFmtId="0" fontId="0" fillId="7" borderId="1" xfId="0" applyFill="1" applyBorder="1" applyAlignment="1">
      <alignment horizontal="center" vertical="center"/>
    </xf>
    <xf numFmtId="9" fontId="0" fillId="7" borderId="1" xfId="1" applyFont="1" applyFill="1" applyBorder="1" applyAlignment="1">
      <alignment horizontal="center" vertical="center"/>
    </xf>
    <xf numFmtId="9" fontId="0" fillId="7" borderId="1" xfId="0" applyNumberFormat="1" applyFill="1" applyBorder="1" applyAlignment="1">
      <alignment horizontal="center" vertical="center"/>
    </xf>
    <xf numFmtId="10" fontId="0" fillId="7" borderId="1" xfId="1" applyNumberFormat="1" applyFont="1" applyFill="1" applyBorder="1" applyAlignment="1">
      <alignment horizontal="center" vertical="center"/>
    </xf>
    <xf numFmtId="10" fontId="0" fillId="7" borderId="1" xfId="0" applyNumberFormat="1" applyFill="1" applyBorder="1" applyAlignment="1">
      <alignment horizontal="center" vertical="center"/>
    </xf>
    <xf numFmtId="9" fontId="0" fillId="7" borderId="1" xfId="1" applyFont="1" applyFill="1" applyBorder="1" applyAlignment="1">
      <alignment horizontal="center" vertical="center" wrapText="1"/>
    </xf>
    <xf numFmtId="9" fontId="0" fillId="7" borderId="1" xfId="0" applyNumberFormat="1" applyFill="1" applyBorder="1" applyAlignment="1">
      <alignment horizontal="center" vertical="center" wrapText="1"/>
    </xf>
    <xf numFmtId="10" fontId="2" fillId="7" borderId="1" xfId="1" applyNumberFormat="1" applyFont="1" applyFill="1" applyBorder="1" applyAlignment="1">
      <alignment horizontal="center" vertical="center"/>
    </xf>
    <xf numFmtId="164" fontId="0" fillId="7" borderId="1" xfId="0" applyNumberFormat="1" applyFill="1" applyBorder="1" applyAlignment="1">
      <alignment horizontal="center" vertical="center"/>
    </xf>
    <xf numFmtId="0" fontId="2" fillId="7" borderId="1" xfId="0" applyFont="1" applyFill="1" applyBorder="1" applyAlignment="1">
      <alignment horizontal="center" vertical="center"/>
    </xf>
    <xf numFmtId="0" fontId="0" fillId="7" borderId="1" xfId="0" applyFill="1" applyBorder="1" applyAlignment="1">
      <alignment horizontal="center" vertical="center" wrapText="1"/>
    </xf>
    <xf numFmtId="0" fontId="2" fillId="7" borderId="1" xfId="0" applyFont="1" applyFill="1" applyBorder="1" applyAlignment="1">
      <alignment horizontal="center" vertical="center" wrapText="1"/>
    </xf>
    <xf numFmtId="10" fontId="0" fillId="7" borderId="1" xfId="0" applyNumberFormat="1" applyFill="1" applyBorder="1" applyAlignment="1">
      <alignment horizontal="center" vertical="center" wrapText="1"/>
    </xf>
    <xf numFmtId="9" fontId="0" fillId="4" borderId="1" xfId="1" applyFont="1" applyFill="1" applyBorder="1" applyAlignment="1">
      <alignment horizontal="center" vertical="center"/>
    </xf>
    <xf numFmtId="9" fontId="0" fillId="4" borderId="1" xfId="0" applyNumberFormat="1" applyFill="1" applyBorder="1" applyAlignment="1">
      <alignment horizontal="center" vertical="center"/>
    </xf>
    <xf numFmtId="0" fontId="0" fillId="4" borderId="1" xfId="0" applyFill="1" applyBorder="1" applyAlignment="1">
      <alignment horizontal="center" vertical="center"/>
    </xf>
    <xf numFmtId="10" fontId="0" fillId="4" borderId="1" xfId="0" applyNumberFormat="1" applyFill="1" applyBorder="1" applyAlignment="1">
      <alignment horizontal="center" vertical="center"/>
    </xf>
    <xf numFmtId="9" fontId="0" fillId="4" borderId="1" xfId="0" applyNumberFormat="1" applyFill="1" applyBorder="1" applyAlignment="1">
      <alignment horizontal="center" vertical="center" wrapText="1"/>
    </xf>
    <xf numFmtId="10" fontId="2" fillId="4" borderId="1" xfId="1" applyNumberFormat="1" applyFont="1" applyFill="1" applyBorder="1" applyAlignment="1">
      <alignment horizontal="center" vertical="center"/>
    </xf>
    <xf numFmtId="10" fontId="0" fillId="4" borderId="1" xfId="1" applyNumberFormat="1" applyFont="1" applyFill="1" applyBorder="1" applyAlignment="1">
      <alignment horizontal="center" vertical="center"/>
    </xf>
    <xf numFmtId="0" fontId="2" fillId="4" borderId="1" xfId="0" applyFont="1" applyFill="1" applyBorder="1" applyAlignment="1">
      <alignment horizontal="center" vertical="center"/>
    </xf>
    <xf numFmtId="9" fontId="0" fillId="4" borderId="1" xfId="1" applyFont="1" applyFill="1" applyBorder="1" applyAlignment="1">
      <alignment horizontal="center" vertical="center" wrapText="1"/>
    </xf>
    <xf numFmtId="0" fontId="0" fillId="4" borderId="1" xfId="0" applyFill="1" applyBorder="1" applyAlignment="1">
      <alignment horizontal="center" vertical="center" wrapText="1"/>
    </xf>
    <xf numFmtId="0" fontId="2" fillId="4" borderId="1" xfId="0" applyFont="1" applyFill="1" applyBorder="1" applyAlignment="1">
      <alignment horizontal="center" vertical="center" wrapText="1"/>
    </xf>
    <xf numFmtId="10" fontId="0" fillId="4" borderId="1" xfId="0" applyNumberFormat="1" applyFill="1" applyBorder="1" applyAlignment="1">
      <alignment horizontal="center" vertical="center" wrapText="1"/>
    </xf>
    <xf numFmtId="0" fontId="1" fillId="8" borderId="1" xfId="0" applyFont="1" applyFill="1" applyBorder="1" applyAlignment="1">
      <alignment horizontal="center" vertical="center" wrapText="1"/>
    </xf>
    <xf numFmtId="9" fontId="0" fillId="8" borderId="1" xfId="1" applyFont="1" applyFill="1" applyBorder="1" applyAlignment="1">
      <alignment horizontal="center" vertical="center"/>
    </xf>
    <xf numFmtId="9" fontId="0" fillId="8" borderId="1" xfId="0" applyNumberFormat="1" applyFill="1" applyBorder="1" applyAlignment="1">
      <alignment horizontal="center" vertical="center"/>
    </xf>
    <xf numFmtId="3" fontId="0" fillId="8" borderId="1" xfId="0" applyNumberFormat="1" applyFill="1" applyBorder="1" applyAlignment="1">
      <alignment horizontal="center" vertical="center"/>
    </xf>
    <xf numFmtId="0" fontId="0" fillId="8" borderId="1" xfId="0" applyFill="1" applyBorder="1" applyAlignment="1">
      <alignment horizontal="center" vertical="center"/>
    </xf>
    <xf numFmtId="4" fontId="0" fillId="8" borderId="1" xfId="0" applyNumberFormat="1" applyFill="1" applyBorder="1" applyAlignment="1">
      <alignment horizontal="center" vertical="center"/>
    </xf>
    <xf numFmtId="10" fontId="0" fillId="8" borderId="1" xfId="0" applyNumberFormat="1" applyFill="1" applyBorder="1" applyAlignment="1">
      <alignment horizontal="center" vertical="center"/>
    </xf>
    <xf numFmtId="0" fontId="0" fillId="8" borderId="1" xfId="0" applyNumberFormat="1" applyFill="1" applyBorder="1" applyAlignment="1">
      <alignment horizontal="center" vertical="center"/>
    </xf>
    <xf numFmtId="9" fontId="0" fillId="8" borderId="1" xfId="0" applyNumberFormat="1" applyFill="1" applyBorder="1" applyAlignment="1">
      <alignment horizontal="center" vertical="center" wrapText="1"/>
    </xf>
    <xf numFmtId="10" fontId="2" fillId="8" borderId="1" xfId="1" applyNumberFormat="1" applyFont="1" applyFill="1" applyBorder="1" applyAlignment="1">
      <alignment horizontal="center" vertical="center"/>
    </xf>
    <xf numFmtId="10" fontId="0" fillId="8" borderId="1" xfId="1" applyNumberFormat="1" applyFont="1" applyFill="1" applyBorder="1" applyAlignment="1">
      <alignment horizontal="center" vertical="center"/>
    </xf>
    <xf numFmtId="9" fontId="0" fillId="8" borderId="1" xfId="1" applyFont="1" applyFill="1" applyBorder="1" applyAlignment="1">
      <alignment horizontal="center" vertical="center" wrapText="1"/>
    </xf>
    <xf numFmtId="0" fontId="0" fillId="8" borderId="1" xfId="0" applyFill="1" applyBorder="1" applyAlignment="1">
      <alignment horizontal="center" vertical="center" wrapText="1"/>
    </xf>
    <xf numFmtId="0" fontId="2" fillId="8" borderId="1" xfId="0" applyFont="1" applyFill="1" applyBorder="1" applyAlignment="1">
      <alignment horizontal="center" vertical="center" wrapText="1"/>
    </xf>
    <xf numFmtId="10" fontId="0" fillId="8" borderId="1" xfId="0" applyNumberFormat="1" applyFill="1" applyBorder="1" applyAlignment="1">
      <alignment horizontal="center" vertical="center" wrapText="1"/>
    </xf>
    <xf numFmtId="0" fontId="0" fillId="8" borderId="0" xfId="0" applyFill="1"/>
    <xf numFmtId="3" fontId="0" fillId="5" borderId="1" xfId="0" applyNumberFormat="1" applyFill="1" applyBorder="1" applyAlignment="1">
      <alignment horizontal="center" vertical="center" wrapText="1"/>
    </xf>
    <xf numFmtId="3" fontId="0" fillId="6" borderId="1" xfId="0" applyNumberFormat="1" applyFill="1" applyBorder="1" applyAlignment="1">
      <alignment horizontal="center" vertical="center" wrapText="1"/>
    </xf>
    <xf numFmtId="3" fontId="0" fillId="7" borderId="1" xfId="1" applyNumberFormat="1" applyFont="1" applyFill="1" applyBorder="1" applyAlignment="1">
      <alignment horizontal="center" vertical="center"/>
    </xf>
    <xf numFmtId="3" fontId="0" fillId="4" borderId="1" xfId="1" applyNumberFormat="1" applyFont="1" applyFill="1" applyBorder="1" applyAlignment="1">
      <alignment horizontal="center" vertical="center"/>
    </xf>
    <xf numFmtId="3" fontId="0" fillId="8" borderId="1" xfId="1" applyNumberFormat="1" applyFont="1" applyFill="1" applyBorder="1" applyAlignment="1">
      <alignment horizontal="center" vertical="center"/>
    </xf>
    <xf numFmtId="3" fontId="0" fillId="7" borderId="1"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3" fontId="0" fillId="8" borderId="1" xfId="0" applyNumberFormat="1" applyFill="1" applyBorder="1" applyAlignment="1">
      <alignment horizontal="center" vertical="center" wrapText="1"/>
    </xf>
    <xf numFmtId="10" fontId="0" fillId="5" borderId="1" xfId="1" applyNumberFormat="1" applyFont="1" applyFill="1" applyBorder="1" applyAlignment="1">
      <alignment horizontal="center" vertical="center" wrapText="1"/>
    </xf>
    <xf numFmtId="10" fontId="0" fillId="6" borderId="1" xfId="0" applyNumberFormat="1" applyFill="1" applyBorder="1" applyAlignment="1">
      <alignment horizontal="center" vertical="center" wrapText="1"/>
    </xf>
    <xf numFmtId="9" fontId="0" fillId="5" borderId="1" xfId="1" applyFont="1" applyFill="1" applyBorder="1" applyAlignment="1">
      <alignment horizontal="center" vertical="center"/>
    </xf>
    <xf numFmtId="9" fontId="0" fillId="6" borderId="1" xfId="1" applyFont="1" applyFill="1" applyBorder="1" applyAlignment="1">
      <alignment horizontal="center" vertical="center"/>
    </xf>
    <xf numFmtId="0" fontId="0" fillId="7" borderId="1" xfId="0" applyNumberFormat="1" applyFill="1" applyBorder="1" applyAlignment="1">
      <alignment horizontal="center" vertical="center" wrapText="1"/>
    </xf>
    <xf numFmtId="0" fontId="0" fillId="4" borderId="1" xfId="0" applyNumberFormat="1" applyFill="1" applyBorder="1" applyAlignment="1">
      <alignment horizontal="center" vertical="center" wrapText="1"/>
    </xf>
    <xf numFmtId="0" fontId="0" fillId="8" borderId="1" xfId="0" applyNumberFormat="1" applyFill="1" applyBorder="1" applyAlignment="1">
      <alignment horizontal="center" vertical="center" wrapText="1"/>
    </xf>
    <xf numFmtId="10" fontId="0" fillId="5" borderId="0" xfId="1" applyNumberFormat="1" applyFont="1" applyFill="1"/>
    <xf numFmtId="10" fontId="0" fillId="6" borderId="1" xfId="1" applyNumberFormat="1" applyFont="1" applyFill="1" applyBorder="1" applyAlignment="1">
      <alignment horizontal="center" vertical="center"/>
    </xf>
    <xf numFmtId="10" fontId="0" fillId="5" borderId="1" xfId="1" applyNumberFormat="1" applyFont="1" applyFill="1" applyBorder="1" applyAlignment="1">
      <alignment horizontal="center" vertical="center"/>
    </xf>
    <xf numFmtId="10" fontId="0" fillId="7" borderId="1" xfId="1" applyNumberFormat="1" applyFont="1" applyFill="1" applyBorder="1" applyAlignment="1">
      <alignment horizontal="center" vertical="center" wrapText="1"/>
    </xf>
    <xf numFmtId="10" fontId="2" fillId="4" borderId="1" xfId="1"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10" fontId="2" fillId="8" borderId="1" xfId="0" applyNumberFormat="1" applyFont="1" applyFill="1" applyBorder="1" applyAlignment="1">
      <alignment horizontal="center" vertical="center" wrapText="1"/>
    </xf>
    <xf numFmtId="9" fontId="0" fillId="6" borderId="1" xfId="1" applyNumberFormat="1" applyFont="1" applyFill="1" applyBorder="1" applyAlignment="1">
      <alignment horizontal="center" vertical="center"/>
    </xf>
    <xf numFmtId="0" fontId="0" fillId="5" borderId="1" xfId="0" applyNumberFormat="1" applyFill="1" applyBorder="1" applyAlignment="1">
      <alignment horizontal="justify" vertical="center" wrapText="1"/>
    </xf>
    <xf numFmtId="0" fontId="0" fillId="6" borderId="1" xfId="0" applyNumberFormat="1" applyFill="1" applyBorder="1" applyAlignment="1">
      <alignment horizontal="justify" vertical="center" wrapText="1"/>
    </xf>
    <xf numFmtId="1" fontId="0" fillId="7"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1" fontId="0" fillId="8" borderId="1" xfId="0" applyNumberFormat="1" applyFill="1" applyBorder="1" applyAlignment="1">
      <alignment horizontal="center" vertical="center"/>
    </xf>
    <xf numFmtId="4" fontId="0" fillId="6" borderId="0" xfId="0" applyNumberFormat="1" applyFill="1"/>
    <xf numFmtId="9" fontId="2" fillId="8" borderId="1" xfId="1" applyFont="1" applyFill="1" applyBorder="1" applyAlignment="1">
      <alignment horizontal="center" vertical="center"/>
    </xf>
    <xf numFmtId="9" fontId="2" fillId="8" borderId="1" xfId="0" applyNumberFormat="1" applyFont="1" applyFill="1" applyBorder="1" applyAlignment="1">
      <alignment horizontal="center" vertical="center"/>
    </xf>
    <xf numFmtId="9" fontId="2" fillId="4" borderId="1" xfId="0" applyNumberFormat="1" applyFont="1" applyFill="1" applyBorder="1" applyAlignment="1">
      <alignment horizontal="center" vertical="center" wrapText="1"/>
    </xf>
    <xf numFmtId="2" fontId="0" fillId="5" borderId="1" xfId="0" applyNumberFormat="1" applyFill="1" applyBorder="1" applyAlignment="1">
      <alignment horizontal="center" vertical="center"/>
    </xf>
    <xf numFmtId="2" fontId="0" fillId="6" borderId="1" xfId="0" applyNumberFormat="1" applyFill="1" applyBorder="1" applyAlignment="1">
      <alignment horizontal="center" vertical="center"/>
    </xf>
    <xf numFmtId="2" fontId="0" fillId="7"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2" fontId="2" fillId="8" borderId="1" xfId="0" applyNumberFormat="1" applyFont="1" applyFill="1" applyBorder="1" applyAlignment="1">
      <alignment horizontal="center" vertical="center"/>
    </xf>
    <xf numFmtId="0" fontId="0" fillId="9" borderId="0" xfId="0" applyFill="1"/>
    <xf numFmtId="0" fontId="2" fillId="0" borderId="0" xfId="0" applyFont="1" applyFill="1"/>
    <xf numFmtId="0" fontId="2" fillId="9" borderId="0" xfId="0" applyFont="1" applyFill="1"/>
    <xf numFmtId="10" fontId="0" fillId="0" borderId="0" xfId="1" applyNumberFormat="1" applyFont="1" applyFill="1"/>
    <xf numFmtId="0" fontId="2" fillId="8" borderId="1" xfId="0" applyFont="1" applyFill="1" applyBorder="1" applyAlignment="1">
      <alignment horizontal="center" vertical="center"/>
    </xf>
    <xf numFmtId="2" fontId="0" fillId="8" borderId="1" xfId="0" applyNumberFormat="1" applyFill="1" applyBorder="1" applyAlignment="1">
      <alignment horizontal="center" vertical="center"/>
    </xf>
    <xf numFmtId="4" fontId="0" fillId="5" borderId="1" xfId="0" applyNumberFormat="1" applyFill="1" applyBorder="1" applyAlignment="1">
      <alignment horizontal="center" vertical="center" wrapText="1"/>
    </xf>
    <xf numFmtId="4" fontId="0" fillId="6" borderId="1" xfId="0" applyNumberFormat="1" applyFill="1" applyBorder="1" applyAlignment="1">
      <alignment horizontal="center" vertical="center" wrapText="1"/>
    </xf>
    <xf numFmtId="9" fontId="0" fillId="7" borderId="1" xfId="1" applyNumberFormat="1" applyFont="1" applyFill="1" applyBorder="1" applyAlignment="1">
      <alignment horizontal="center" vertical="center" wrapText="1"/>
    </xf>
    <xf numFmtId="9" fontId="0" fillId="4" borderId="1" xfId="1" applyNumberFormat="1" applyFont="1" applyFill="1" applyBorder="1" applyAlignment="1">
      <alignment horizontal="center" vertical="center" wrapText="1"/>
    </xf>
    <xf numFmtId="9" fontId="0" fillId="8" borderId="1" xfId="1" applyNumberFormat="1" applyFont="1" applyFill="1" applyBorder="1" applyAlignment="1">
      <alignment horizontal="center" vertical="center" wrapText="1"/>
    </xf>
    <xf numFmtId="10" fontId="0" fillId="4" borderId="1" xfId="1" applyNumberFormat="1" applyFont="1" applyFill="1" applyBorder="1" applyAlignment="1">
      <alignment horizontal="center" vertical="center" wrapText="1"/>
    </xf>
    <xf numFmtId="10" fontId="0" fillId="8" borderId="1" xfId="1" applyNumberFormat="1" applyFont="1" applyFill="1" applyBorder="1" applyAlignment="1">
      <alignment horizontal="center" vertical="center" wrapText="1"/>
    </xf>
    <xf numFmtId="10" fontId="2" fillId="7" borderId="1" xfId="1" applyNumberFormat="1" applyFont="1" applyFill="1" applyBorder="1" applyAlignment="1">
      <alignment horizontal="center" vertical="center" wrapText="1"/>
    </xf>
    <xf numFmtId="15" fontId="2" fillId="2" borderId="1" xfId="0" applyNumberFormat="1" applyFont="1" applyFill="1" applyBorder="1" applyAlignment="1">
      <alignment horizontal="center" vertical="center"/>
    </xf>
    <xf numFmtId="10" fontId="0" fillId="0" borderId="1" xfId="1" applyNumberFormat="1" applyFont="1" applyFill="1" applyBorder="1" applyAlignment="1">
      <alignment horizontal="center" vertical="center"/>
    </xf>
    <xf numFmtId="3" fontId="0" fillId="0" borderId="0" xfId="0" applyNumberFormat="1" applyFill="1"/>
    <xf numFmtId="3" fontId="0" fillId="7" borderId="0" xfId="0" applyNumberFormat="1" applyFill="1"/>
    <xf numFmtId="9" fontId="0" fillId="7" borderId="3" xfId="1" applyFont="1" applyFill="1" applyBorder="1" applyAlignment="1">
      <alignment horizontal="center" vertical="center" wrapText="1"/>
    </xf>
    <xf numFmtId="9" fontId="0" fillId="4" borderId="3" xfId="1" applyFont="1" applyFill="1" applyBorder="1" applyAlignment="1">
      <alignment horizontal="center" vertical="center" wrapText="1"/>
    </xf>
    <xf numFmtId="9" fontId="0" fillId="8" borderId="3" xfId="1" applyFont="1" applyFill="1" applyBorder="1" applyAlignment="1">
      <alignment horizontal="center" vertical="center" wrapText="1"/>
    </xf>
    <xf numFmtId="0" fontId="0" fillId="0" borderId="1" xfId="0" applyFill="1" applyBorder="1" applyAlignment="1">
      <alignment vertical="center" wrapText="1"/>
    </xf>
    <xf numFmtId="9" fontId="2" fillId="7" borderId="1" xfId="1" applyFont="1" applyFill="1" applyBorder="1" applyAlignment="1">
      <alignment horizontal="center" vertical="center"/>
    </xf>
    <xf numFmtId="10" fontId="2" fillId="8" borderId="1" xfId="1"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2" fillId="6" borderId="1" xfId="0" applyNumberFormat="1" applyFont="1" applyFill="1" applyBorder="1" applyAlignment="1">
      <alignment horizontal="center" vertical="center" wrapText="1"/>
    </xf>
    <xf numFmtId="0" fontId="0" fillId="6" borderId="1" xfId="0" applyNumberFormat="1" applyFont="1" applyFill="1" applyBorder="1" applyAlignment="1">
      <alignment horizontal="center" vertical="center" wrapText="1"/>
    </xf>
    <xf numFmtId="0" fontId="0" fillId="5" borderId="1" xfId="0" applyNumberFormat="1" applyFont="1" applyFill="1" applyBorder="1" applyAlignment="1">
      <alignment horizontal="center" vertical="center" wrapText="1"/>
    </xf>
    <xf numFmtId="2" fontId="0" fillId="5" borderId="1" xfId="0" applyNumberFormat="1" applyFont="1" applyFill="1" applyBorder="1" applyAlignment="1">
      <alignment horizontal="center" vertical="center"/>
    </xf>
    <xf numFmtId="2" fontId="0" fillId="6" borderId="1" xfId="0" applyNumberFormat="1" applyFont="1" applyFill="1" applyBorder="1" applyAlignment="1">
      <alignment horizontal="center" vertical="center"/>
    </xf>
    <xf numFmtId="0" fontId="1" fillId="10" borderId="1" xfId="0" applyFont="1" applyFill="1" applyBorder="1" applyAlignment="1">
      <alignment horizontal="center" vertical="center" wrapText="1"/>
    </xf>
    <xf numFmtId="3" fontId="0" fillId="10" borderId="1" xfId="0" applyNumberFormat="1" applyFill="1" applyBorder="1" applyAlignment="1">
      <alignment horizontal="center" vertical="center" wrapText="1"/>
    </xf>
    <xf numFmtId="9" fontId="0" fillId="10" borderId="1" xfId="0" applyNumberFormat="1" applyFill="1" applyBorder="1" applyAlignment="1">
      <alignment horizontal="center" vertical="center"/>
    </xf>
    <xf numFmtId="9" fontId="0" fillId="10" borderId="1" xfId="0" applyNumberFormat="1" applyFill="1" applyBorder="1" applyAlignment="1">
      <alignment horizontal="center" vertical="center" wrapText="1"/>
    </xf>
    <xf numFmtId="0" fontId="0" fillId="10" borderId="1" xfId="0" applyFill="1" applyBorder="1" applyAlignment="1">
      <alignment horizontal="center" vertical="center" wrapText="1"/>
    </xf>
    <xf numFmtId="4" fontId="0" fillId="10" borderId="1" xfId="0" applyNumberFormat="1" applyFill="1" applyBorder="1" applyAlignment="1">
      <alignment horizontal="center" vertical="center" wrapText="1"/>
    </xf>
    <xf numFmtId="10" fontId="0" fillId="10" borderId="1" xfId="0" applyNumberFormat="1" applyFill="1" applyBorder="1" applyAlignment="1">
      <alignment horizontal="center" vertical="center" wrapText="1"/>
    </xf>
    <xf numFmtId="9" fontId="0" fillId="10" borderId="1" xfId="1" applyFont="1" applyFill="1" applyBorder="1" applyAlignment="1">
      <alignment horizontal="center" vertical="center" wrapText="1"/>
    </xf>
    <xf numFmtId="0" fontId="0" fillId="10" borderId="1" xfId="0" applyNumberFormat="1" applyFill="1" applyBorder="1" applyAlignment="1">
      <alignment horizontal="center" vertical="center" wrapText="1"/>
    </xf>
    <xf numFmtId="10" fontId="2" fillId="10" borderId="1" xfId="1" applyNumberFormat="1" applyFont="1" applyFill="1" applyBorder="1" applyAlignment="1">
      <alignment horizontal="center" vertical="center" wrapText="1"/>
    </xf>
    <xf numFmtId="9" fontId="0" fillId="10" borderId="1" xfId="1" applyNumberFormat="1" applyFont="1" applyFill="1" applyBorder="1" applyAlignment="1">
      <alignment horizontal="center" vertical="center" wrapText="1"/>
    </xf>
    <xf numFmtId="10" fontId="0" fillId="10" borderId="1" xfId="1" applyNumberFormat="1" applyFont="1" applyFill="1" applyBorder="1" applyAlignment="1">
      <alignment horizontal="center" vertical="center" wrapText="1"/>
    </xf>
    <xf numFmtId="10" fontId="2" fillId="10" borderId="1" xfId="1" applyNumberFormat="1" applyFont="1" applyFill="1" applyBorder="1" applyAlignment="1">
      <alignment horizontal="center" vertical="center"/>
    </xf>
    <xf numFmtId="9" fontId="0" fillId="10" borderId="3" xfId="1" applyFont="1" applyFill="1" applyBorder="1" applyAlignment="1">
      <alignment horizontal="center" vertical="center" wrapText="1"/>
    </xf>
    <xf numFmtId="0" fontId="2" fillId="10" borderId="1" xfId="0" applyFont="1" applyFill="1" applyBorder="1" applyAlignment="1">
      <alignment horizontal="center" vertical="center" wrapText="1"/>
    </xf>
    <xf numFmtId="10" fontId="2" fillId="10" borderId="1" xfId="0" applyNumberFormat="1" applyFont="1" applyFill="1" applyBorder="1" applyAlignment="1">
      <alignment horizontal="center" vertical="center" wrapText="1"/>
    </xf>
    <xf numFmtId="0" fontId="0" fillId="10" borderId="0" xfId="0" applyFill="1"/>
    <xf numFmtId="10" fontId="0" fillId="10" borderId="1" xfId="0" applyNumberFormat="1" applyFill="1" applyBorder="1" applyAlignment="1">
      <alignment horizontal="center" vertical="center"/>
    </xf>
    <xf numFmtId="2" fontId="0" fillId="10" borderId="1" xfId="0" applyNumberFormat="1" applyFill="1" applyBorder="1" applyAlignment="1">
      <alignment horizontal="center" vertical="center" wrapText="1"/>
    </xf>
    <xf numFmtId="3" fontId="2" fillId="10" borderId="1" xfId="0" applyNumberFormat="1" applyFont="1" applyFill="1" applyBorder="1" applyAlignment="1">
      <alignment horizontal="center" vertical="center" wrapText="1"/>
    </xf>
    <xf numFmtId="4" fontId="0" fillId="10" borderId="1" xfId="0" applyNumberFormat="1" applyFill="1" applyBorder="1" applyAlignment="1">
      <alignment horizontal="center" vertical="center"/>
    </xf>
    <xf numFmtId="1" fontId="0" fillId="10" borderId="1" xfId="0" applyNumberFormat="1" applyFill="1" applyBorder="1" applyAlignment="1">
      <alignment horizontal="center" vertical="center" wrapText="1"/>
    </xf>
    <xf numFmtId="0" fontId="0" fillId="10" borderId="1" xfId="0" applyFont="1" applyFill="1" applyBorder="1" applyAlignment="1">
      <alignment horizontal="center" vertical="center"/>
    </xf>
    <xf numFmtId="0" fontId="0" fillId="10" borderId="1" xfId="0" applyNumberFormat="1" applyFill="1" applyBorder="1" applyAlignment="1">
      <alignment horizontal="center" vertical="center"/>
    </xf>
    <xf numFmtId="3" fontId="0" fillId="10" borderId="1" xfId="0" applyNumberFormat="1" applyFill="1" applyBorder="1" applyAlignment="1">
      <alignment horizontal="center" vertical="center"/>
    </xf>
    <xf numFmtId="10" fontId="0" fillId="10" borderId="0" xfId="0" applyNumberFormat="1" applyFill="1" applyAlignment="1">
      <alignment horizontal="center" vertical="center"/>
    </xf>
    <xf numFmtId="0" fontId="0" fillId="10" borderId="1" xfId="0" applyFill="1" applyBorder="1" applyAlignment="1">
      <alignment horizontal="center" vertical="center"/>
    </xf>
    <xf numFmtId="3" fontId="0" fillId="10" borderId="1" xfId="1" applyNumberFormat="1" applyFont="1" applyFill="1" applyBorder="1" applyAlignment="1">
      <alignment horizontal="center" vertical="center"/>
    </xf>
    <xf numFmtId="9" fontId="2" fillId="10" borderId="1" xfId="0" applyNumberFormat="1" applyFont="1" applyFill="1" applyBorder="1" applyAlignment="1">
      <alignment horizontal="center" vertical="center" wrapText="1"/>
    </xf>
    <xf numFmtId="9" fontId="0" fillId="8" borderId="1" xfId="1" applyNumberFormat="1" applyFont="1" applyFill="1" applyBorder="1" applyAlignment="1">
      <alignment horizontal="center" vertical="center"/>
    </xf>
    <xf numFmtId="9" fontId="2" fillId="10" borderId="1" xfId="1"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3" fontId="2" fillId="6" borderId="1" xfId="0" applyNumberFormat="1" applyFont="1" applyFill="1" applyBorder="1" applyAlignment="1">
      <alignment horizontal="center" vertical="center"/>
    </xf>
    <xf numFmtId="3" fontId="2" fillId="6"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xf>
    <xf numFmtId="4" fontId="2" fillId="7" borderId="1"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xf>
    <xf numFmtId="4" fontId="2" fillId="4" borderId="1" xfId="0" applyNumberFormat="1" applyFont="1" applyFill="1" applyBorder="1" applyAlignment="1">
      <alignment horizontal="center" vertical="center" wrapText="1"/>
    </xf>
    <xf numFmtId="3" fontId="2" fillId="8" borderId="1" xfId="0" applyNumberFormat="1" applyFont="1" applyFill="1" applyBorder="1" applyAlignment="1">
      <alignment horizontal="center" vertical="center"/>
    </xf>
    <xf numFmtId="4" fontId="2" fillId="8" borderId="1" xfId="0" applyNumberFormat="1" applyFont="1" applyFill="1" applyBorder="1" applyAlignment="1">
      <alignment horizontal="center" vertical="center" wrapText="1"/>
    </xf>
    <xf numFmtId="4" fontId="0" fillId="10" borderId="1" xfId="1" applyNumberFormat="1" applyFont="1" applyFill="1" applyBorder="1" applyAlignment="1">
      <alignment horizontal="center" vertical="center" wrapText="1"/>
    </xf>
    <xf numFmtId="0" fontId="0" fillId="11" borderId="1" xfId="0" applyNumberFormat="1" applyFill="1" applyBorder="1" applyAlignment="1">
      <alignment horizontal="center" vertical="center"/>
    </xf>
    <xf numFmtId="0" fontId="0" fillId="11" borderId="1" xfId="0" applyNumberFormat="1" applyFill="1" applyBorder="1" applyAlignment="1">
      <alignment horizontal="center" vertical="center" wrapText="1"/>
    </xf>
    <xf numFmtId="9" fontId="0" fillId="5" borderId="0" xfId="1" applyFont="1" applyFill="1"/>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M120"/>
  <sheetViews>
    <sheetView tabSelected="1" workbookViewId="0">
      <selection activeCell="Z3" sqref="Z3"/>
    </sheetView>
  </sheetViews>
  <sheetFormatPr baseColWidth="10" defaultRowHeight="15" x14ac:dyDescent="0.25"/>
  <cols>
    <col min="1" max="1" width="17.7109375" style="2" customWidth="1"/>
    <col min="2" max="2" width="35.42578125" style="2" customWidth="1"/>
    <col min="3" max="3" width="55.28515625" style="2" customWidth="1"/>
    <col min="4" max="4" width="12" style="2" customWidth="1"/>
    <col min="5" max="5" width="18.85546875" style="2" customWidth="1"/>
    <col min="6" max="8" width="16.7109375" style="2" customWidth="1"/>
    <col min="9" max="9" width="16.7109375" style="52" customWidth="1"/>
    <col min="10" max="10" width="82" style="52" customWidth="1"/>
    <col min="11" max="11" width="17.85546875" style="60" customWidth="1"/>
    <col min="12" max="12" width="16.7109375" style="60" customWidth="1"/>
    <col min="13" max="13" width="83.140625" style="60" customWidth="1"/>
    <col min="14" max="15" width="18.42578125" style="65" customWidth="1"/>
    <col min="16" max="16" width="81.85546875" style="65" customWidth="1"/>
    <col min="17" max="18" width="18.42578125" style="44" customWidth="1"/>
    <col min="19" max="19" width="74.5703125" style="44" customWidth="1"/>
    <col min="20" max="21" width="18.42578125" style="106" customWidth="1"/>
    <col min="22" max="22" width="82.42578125" style="106" customWidth="1"/>
    <col min="23" max="23" width="21.7109375" style="190" customWidth="1"/>
    <col min="24" max="24" width="19.7109375" style="190" customWidth="1"/>
    <col min="25" max="25" width="83.5703125" style="190" customWidth="1"/>
    <col min="26" max="26" width="14.7109375" style="2" customWidth="1"/>
    <col min="27" max="27" width="37.85546875" style="2" hidden="1" customWidth="1"/>
    <col min="28" max="28" width="32" style="2" hidden="1" customWidth="1"/>
    <col min="29" max="16384" width="11.42578125" style="2"/>
  </cols>
  <sheetData>
    <row r="1" spans="1:31" ht="42.75" customHeight="1" x14ac:dyDescent="0.25">
      <c r="A1" s="15" t="s">
        <v>109</v>
      </c>
      <c r="B1" s="15" t="s">
        <v>0</v>
      </c>
      <c r="C1" s="15" t="s">
        <v>1</v>
      </c>
      <c r="D1" s="218" t="s">
        <v>3</v>
      </c>
      <c r="E1" s="219"/>
      <c r="F1" s="15" t="s">
        <v>112</v>
      </c>
      <c r="G1" s="39" t="s">
        <v>175</v>
      </c>
      <c r="H1" s="15" t="s">
        <v>113</v>
      </c>
      <c r="I1" s="45" t="s">
        <v>177</v>
      </c>
      <c r="J1" s="45" t="s">
        <v>178</v>
      </c>
      <c r="K1" s="53" t="s">
        <v>179</v>
      </c>
      <c r="L1" s="53" t="s">
        <v>176</v>
      </c>
      <c r="M1" s="53" t="s">
        <v>178</v>
      </c>
      <c r="N1" s="61" t="s">
        <v>147</v>
      </c>
      <c r="O1" s="61" t="s">
        <v>176</v>
      </c>
      <c r="P1" s="61" t="s">
        <v>178</v>
      </c>
      <c r="Q1" s="40" t="s">
        <v>180</v>
      </c>
      <c r="R1" s="40" t="s">
        <v>176</v>
      </c>
      <c r="S1" s="40" t="s">
        <v>178</v>
      </c>
      <c r="T1" s="91" t="s">
        <v>190</v>
      </c>
      <c r="U1" s="91" t="s">
        <v>176</v>
      </c>
      <c r="V1" s="91" t="s">
        <v>178</v>
      </c>
      <c r="W1" s="174" t="s">
        <v>426</v>
      </c>
      <c r="X1" s="174" t="s">
        <v>176</v>
      </c>
      <c r="Y1" s="174" t="s">
        <v>178</v>
      </c>
      <c r="Z1" s="15" t="s">
        <v>93</v>
      </c>
      <c r="AA1" s="17" t="s">
        <v>167</v>
      </c>
      <c r="AB1" s="38" t="s">
        <v>156</v>
      </c>
    </row>
    <row r="2" spans="1:31" ht="217.5" customHeight="1" x14ac:dyDescent="0.25">
      <c r="A2" s="10" t="s">
        <v>108</v>
      </c>
      <c r="B2" s="10" t="s">
        <v>182</v>
      </c>
      <c r="C2" s="18" t="s">
        <v>99</v>
      </c>
      <c r="D2" s="10" t="s">
        <v>5</v>
      </c>
      <c r="E2" s="10" t="s">
        <v>129</v>
      </c>
      <c r="F2" s="11" t="s">
        <v>148</v>
      </c>
      <c r="G2" s="11" t="s">
        <v>181</v>
      </c>
      <c r="H2" s="11">
        <v>50</v>
      </c>
      <c r="I2" s="107">
        <v>4</v>
      </c>
      <c r="J2" s="107" t="s">
        <v>183</v>
      </c>
      <c r="K2" s="108">
        <v>9</v>
      </c>
      <c r="L2" s="108">
        <f>I2+K2</f>
        <v>13</v>
      </c>
      <c r="M2" s="108" t="s">
        <v>184</v>
      </c>
      <c r="N2" s="62">
        <v>5</v>
      </c>
      <c r="O2" s="109">
        <f>L2+N2</f>
        <v>18</v>
      </c>
      <c r="P2" s="112" t="s">
        <v>185</v>
      </c>
      <c r="Q2" s="110">
        <v>6</v>
      </c>
      <c r="R2" s="110">
        <f>O2+Q2</f>
        <v>24</v>
      </c>
      <c r="S2" s="113" t="s">
        <v>186</v>
      </c>
      <c r="T2" s="111">
        <v>6</v>
      </c>
      <c r="U2" s="111">
        <f>R2+T2</f>
        <v>30</v>
      </c>
      <c r="V2" s="114" t="s">
        <v>187</v>
      </c>
      <c r="W2" s="175">
        <v>6</v>
      </c>
      <c r="X2" s="175">
        <f>U2+W2</f>
        <v>36</v>
      </c>
      <c r="Y2" s="175" t="s">
        <v>427</v>
      </c>
      <c r="Z2" s="5" t="s">
        <v>95</v>
      </c>
      <c r="AA2" s="4" t="s">
        <v>115</v>
      </c>
      <c r="AB2" s="35">
        <v>43102</v>
      </c>
    </row>
    <row r="3" spans="1:31" ht="212.25" customHeight="1" x14ac:dyDescent="0.25">
      <c r="A3" s="10" t="s">
        <v>108</v>
      </c>
      <c r="B3" s="10" t="s">
        <v>114</v>
      </c>
      <c r="C3" s="18" t="s">
        <v>99</v>
      </c>
      <c r="D3" s="10" t="s">
        <v>5</v>
      </c>
      <c r="E3" s="10" t="s">
        <v>129</v>
      </c>
      <c r="F3" s="11" t="s">
        <v>149</v>
      </c>
      <c r="G3" s="11" t="s">
        <v>188</v>
      </c>
      <c r="H3" s="11">
        <v>80</v>
      </c>
      <c r="I3" s="115">
        <f>50/54</f>
        <v>0.92592592592592593</v>
      </c>
      <c r="J3" s="46" t="s">
        <v>189</v>
      </c>
      <c r="K3" s="54" t="s">
        <v>115</v>
      </c>
      <c r="L3" s="116">
        <f>I3</f>
        <v>0.92592592592592593</v>
      </c>
      <c r="M3" s="54" t="s">
        <v>115</v>
      </c>
      <c r="N3" s="68" t="s">
        <v>115</v>
      </c>
      <c r="O3" s="70">
        <f>I3</f>
        <v>0.92592592592592593</v>
      </c>
      <c r="P3" s="68" t="s">
        <v>115</v>
      </c>
      <c r="Q3" s="80" t="s">
        <v>115</v>
      </c>
      <c r="R3" s="82">
        <f>I3</f>
        <v>0.92592592592592593</v>
      </c>
      <c r="S3" s="80" t="s">
        <v>115</v>
      </c>
      <c r="T3" s="93" t="s">
        <v>115</v>
      </c>
      <c r="U3" s="97">
        <f>I3</f>
        <v>0.92592592592592593</v>
      </c>
      <c r="V3" s="93" t="s">
        <v>115</v>
      </c>
      <c r="W3" s="191">
        <f>56/60</f>
        <v>0.93333333333333335</v>
      </c>
      <c r="X3" s="191">
        <f>W3</f>
        <v>0.93333333333333335</v>
      </c>
      <c r="Y3" s="193" t="s">
        <v>428</v>
      </c>
      <c r="Z3" s="5" t="s">
        <v>95</v>
      </c>
      <c r="AA3" s="4" t="s">
        <v>115</v>
      </c>
      <c r="AB3" s="35">
        <v>43132</v>
      </c>
    </row>
    <row r="4" spans="1:31" ht="235.5" customHeight="1" x14ac:dyDescent="0.25">
      <c r="A4" s="19" t="s">
        <v>67</v>
      </c>
      <c r="B4" s="19" t="s">
        <v>27</v>
      </c>
      <c r="C4" s="20" t="s">
        <v>100</v>
      </c>
      <c r="D4" s="19" t="s">
        <v>5</v>
      </c>
      <c r="E4" s="19" t="s">
        <v>130</v>
      </c>
      <c r="F4" s="19" t="s">
        <v>362</v>
      </c>
      <c r="G4" s="19" t="s">
        <v>200</v>
      </c>
      <c r="H4" s="12">
        <v>44477</v>
      </c>
      <c r="I4" s="47" t="s">
        <v>115</v>
      </c>
      <c r="J4" s="107" t="s">
        <v>363</v>
      </c>
      <c r="K4" s="55" t="s">
        <v>115</v>
      </c>
      <c r="L4" s="55" t="s">
        <v>115</v>
      </c>
      <c r="M4" s="108" t="s">
        <v>363</v>
      </c>
      <c r="N4" s="62" t="s">
        <v>115</v>
      </c>
      <c r="O4" s="62" t="s">
        <v>115</v>
      </c>
      <c r="P4" s="112" t="s">
        <v>363</v>
      </c>
      <c r="Q4" s="41" t="s">
        <v>115</v>
      </c>
      <c r="R4" s="41" t="s">
        <v>115</v>
      </c>
      <c r="S4" s="113" t="s">
        <v>363</v>
      </c>
      <c r="T4" s="94">
        <v>514581</v>
      </c>
      <c r="U4" s="94">
        <f>514581+43181102</f>
        <v>43695683</v>
      </c>
      <c r="V4" s="114" t="s">
        <v>361</v>
      </c>
      <c r="W4" s="175" t="s">
        <v>115</v>
      </c>
      <c r="X4" s="175">
        <f>U4</f>
        <v>43695683</v>
      </c>
      <c r="Y4" s="175" t="s">
        <v>361</v>
      </c>
      <c r="Z4" s="12" t="s">
        <v>94</v>
      </c>
      <c r="AA4" s="10" t="s">
        <v>168</v>
      </c>
      <c r="AB4" s="35" t="s">
        <v>157</v>
      </c>
    </row>
    <row r="5" spans="1:31" ht="128.25" customHeight="1" x14ac:dyDescent="0.25">
      <c r="A5" s="10" t="s">
        <v>67</v>
      </c>
      <c r="B5" s="10" t="s">
        <v>28</v>
      </c>
      <c r="C5" s="18" t="s">
        <v>100</v>
      </c>
      <c r="D5" s="10" t="s">
        <v>5</v>
      </c>
      <c r="E5" s="10" t="s">
        <v>130</v>
      </c>
      <c r="F5" s="19" t="s">
        <v>362</v>
      </c>
      <c r="G5" s="19" t="s">
        <v>200</v>
      </c>
      <c r="H5" s="12">
        <v>42369</v>
      </c>
      <c r="I5" s="47" t="s">
        <v>115</v>
      </c>
      <c r="J5" s="107" t="s">
        <v>365</v>
      </c>
      <c r="K5" s="55" t="s">
        <v>115</v>
      </c>
      <c r="L5" s="55" t="s">
        <v>115</v>
      </c>
      <c r="M5" s="108" t="s">
        <v>365</v>
      </c>
      <c r="N5" s="62" t="s">
        <v>115</v>
      </c>
      <c r="O5" s="62" t="s">
        <v>115</v>
      </c>
      <c r="P5" s="112" t="s">
        <v>365</v>
      </c>
      <c r="Q5" s="41" t="s">
        <v>115</v>
      </c>
      <c r="R5" s="41" t="s">
        <v>115</v>
      </c>
      <c r="S5" s="113" t="s">
        <v>365</v>
      </c>
      <c r="T5" s="94">
        <v>490086</v>
      </c>
      <c r="U5" s="94">
        <f>490086+41268259</f>
        <v>41758345</v>
      </c>
      <c r="V5" s="114" t="s">
        <v>364</v>
      </c>
      <c r="W5" s="175" t="s">
        <v>115</v>
      </c>
      <c r="X5" s="175">
        <f>U5</f>
        <v>41758345</v>
      </c>
      <c r="Y5" s="175" t="s">
        <v>364</v>
      </c>
      <c r="Z5" s="7" t="s">
        <v>94</v>
      </c>
      <c r="AA5" s="10" t="s">
        <v>168</v>
      </c>
      <c r="AB5" s="35" t="s">
        <v>157</v>
      </c>
    </row>
    <row r="6" spans="1:31" ht="159.75" customHeight="1" x14ac:dyDescent="0.25">
      <c r="A6" s="10" t="s">
        <v>67</v>
      </c>
      <c r="B6" s="10" t="s">
        <v>29</v>
      </c>
      <c r="C6" s="18" t="s">
        <v>100</v>
      </c>
      <c r="D6" s="10" t="s">
        <v>5</v>
      </c>
      <c r="E6" s="10" t="s">
        <v>130</v>
      </c>
      <c r="F6" s="6" t="s">
        <v>149</v>
      </c>
      <c r="G6" s="6" t="s">
        <v>200</v>
      </c>
      <c r="H6" s="6">
        <v>41</v>
      </c>
      <c r="I6" s="48" t="s">
        <v>115</v>
      </c>
      <c r="J6" s="48" t="s">
        <v>115</v>
      </c>
      <c r="K6" s="56" t="s">
        <v>115</v>
      </c>
      <c r="L6" s="56" t="s">
        <v>115</v>
      </c>
      <c r="M6" s="56" t="s">
        <v>115</v>
      </c>
      <c r="N6" s="69" t="s">
        <v>115</v>
      </c>
      <c r="O6" s="64">
        <v>42.2</v>
      </c>
      <c r="P6" s="72" t="s">
        <v>366</v>
      </c>
      <c r="Q6" s="80" t="s">
        <v>115</v>
      </c>
      <c r="R6" s="43">
        <v>42.2</v>
      </c>
      <c r="S6" s="83" t="s">
        <v>366</v>
      </c>
      <c r="T6" s="97" t="s">
        <v>115</v>
      </c>
      <c r="U6" s="96">
        <v>42.2</v>
      </c>
      <c r="V6" s="99" t="s">
        <v>366</v>
      </c>
      <c r="W6" s="177" t="s">
        <v>115</v>
      </c>
      <c r="X6" s="194">
        <v>42.2</v>
      </c>
      <c r="Y6" s="177" t="s">
        <v>366</v>
      </c>
      <c r="Z6" s="7" t="s">
        <v>94</v>
      </c>
      <c r="AA6" s="10" t="s">
        <v>168</v>
      </c>
      <c r="AB6" s="35" t="s">
        <v>157</v>
      </c>
    </row>
    <row r="7" spans="1:31" ht="198" customHeight="1" x14ac:dyDescent="0.25">
      <c r="A7" s="10" t="s">
        <v>67</v>
      </c>
      <c r="B7" s="10" t="s">
        <v>30</v>
      </c>
      <c r="C7" s="18" t="s">
        <v>100</v>
      </c>
      <c r="D7" s="10" t="s">
        <v>5</v>
      </c>
      <c r="E7" s="10" t="s">
        <v>130</v>
      </c>
      <c r="F7" s="19" t="s">
        <v>362</v>
      </c>
      <c r="G7" s="19" t="s">
        <v>200</v>
      </c>
      <c r="H7" s="12">
        <v>8188</v>
      </c>
      <c r="I7" s="47" t="s">
        <v>115</v>
      </c>
      <c r="J7" s="107" t="s">
        <v>115</v>
      </c>
      <c r="K7" s="55" t="s">
        <v>115</v>
      </c>
      <c r="L7" s="55" t="s">
        <v>115</v>
      </c>
      <c r="M7" s="55" t="s">
        <v>115</v>
      </c>
      <c r="N7" s="62" t="s">
        <v>115</v>
      </c>
      <c r="O7" s="62">
        <v>7931358</v>
      </c>
      <c r="P7" s="112" t="s">
        <v>367</v>
      </c>
      <c r="Q7" s="41" t="s">
        <v>115</v>
      </c>
      <c r="R7" s="41">
        <f>O7</f>
        <v>7931358</v>
      </c>
      <c r="S7" s="113" t="s">
        <v>367</v>
      </c>
      <c r="T7" s="94" t="s">
        <v>115</v>
      </c>
      <c r="U7" s="94">
        <f>O7</f>
        <v>7931358</v>
      </c>
      <c r="V7" s="114" t="s">
        <v>367</v>
      </c>
      <c r="W7" s="175" t="s">
        <v>115</v>
      </c>
      <c r="X7" s="175">
        <f>U7</f>
        <v>7931358</v>
      </c>
      <c r="Y7" s="175" t="s">
        <v>367</v>
      </c>
      <c r="Z7" s="7" t="s">
        <v>94</v>
      </c>
      <c r="AA7" s="10" t="s">
        <v>168</v>
      </c>
      <c r="AB7" s="35" t="s">
        <v>157</v>
      </c>
    </row>
    <row r="8" spans="1:31" ht="217.5" customHeight="1" x14ac:dyDescent="0.25">
      <c r="A8" s="10" t="s">
        <v>67</v>
      </c>
      <c r="B8" s="10" t="s">
        <v>31</v>
      </c>
      <c r="C8" s="18" t="s">
        <v>100</v>
      </c>
      <c r="D8" s="10" t="s">
        <v>5</v>
      </c>
      <c r="E8" s="10" t="s">
        <v>130</v>
      </c>
      <c r="F8" s="19" t="s">
        <v>362</v>
      </c>
      <c r="G8" s="19" t="s">
        <v>200</v>
      </c>
      <c r="H8" s="12">
        <v>8517</v>
      </c>
      <c r="I8" s="47" t="s">
        <v>115</v>
      </c>
      <c r="J8" s="107" t="s">
        <v>115</v>
      </c>
      <c r="K8" s="55" t="s">
        <v>115</v>
      </c>
      <c r="L8" s="55" t="s">
        <v>115</v>
      </c>
      <c r="M8" s="55" t="s">
        <v>115</v>
      </c>
      <c r="N8" s="62" t="s">
        <v>115</v>
      </c>
      <c r="O8" s="62">
        <v>8238283</v>
      </c>
      <c r="P8" s="112" t="s">
        <v>368</v>
      </c>
      <c r="Q8" s="41" t="s">
        <v>115</v>
      </c>
      <c r="R8" s="41">
        <v>8238283</v>
      </c>
      <c r="S8" s="113" t="s">
        <v>368</v>
      </c>
      <c r="T8" s="94" t="s">
        <v>115</v>
      </c>
      <c r="U8" s="94">
        <v>8238283</v>
      </c>
      <c r="V8" s="114" t="s">
        <v>368</v>
      </c>
      <c r="W8" s="175" t="s">
        <v>115</v>
      </c>
      <c r="X8" s="175">
        <f>U8</f>
        <v>8238283</v>
      </c>
      <c r="Y8" s="175" t="s">
        <v>368</v>
      </c>
      <c r="Z8" s="7" t="s">
        <v>94</v>
      </c>
      <c r="AA8" s="10" t="s">
        <v>168</v>
      </c>
      <c r="AB8" s="35" t="s">
        <v>157</v>
      </c>
    </row>
    <row r="9" spans="1:31" ht="345" customHeight="1" x14ac:dyDescent="0.25">
      <c r="A9" s="21" t="s">
        <v>67</v>
      </c>
      <c r="B9" s="21" t="s">
        <v>32</v>
      </c>
      <c r="C9" s="22" t="s">
        <v>103</v>
      </c>
      <c r="D9" s="21" t="s">
        <v>5</v>
      </c>
      <c r="E9" s="21" t="s">
        <v>130</v>
      </c>
      <c r="F9" s="19" t="s">
        <v>201</v>
      </c>
      <c r="G9" s="19" t="s">
        <v>208</v>
      </c>
      <c r="H9" s="23">
        <v>10</v>
      </c>
      <c r="I9" s="49" t="s">
        <v>115</v>
      </c>
      <c r="J9" s="107" t="s">
        <v>370</v>
      </c>
      <c r="K9" s="56" t="s">
        <v>115</v>
      </c>
      <c r="L9" s="56" t="s">
        <v>115</v>
      </c>
      <c r="M9" s="108" t="s">
        <v>370</v>
      </c>
      <c r="N9" s="66" t="s">
        <v>115</v>
      </c>
      <c r="O9" s="66" t="s">
        <v>115</v>
      </c>
      <c r="P9" s="112" t="s">
        <v>370</v>
      </c>
      <c r="Q9" s="81" t="s">
        <v>115</v>
      </c>
      <c r="R9" s="81" t="s">
        <v>115</v>
      </c>
      <c r="S9" s="113" t="s">
        <v>370</v>
      </c>
      <c r="T9" s="95">
        <v>4</v>
      </c>
      <c r="U9" s="95">
        <v>4</v>
      </c>
      <c r="V9" s="103" t="s">
        <v>455</v>
      </c>
      <c r="W9" s="178">
        <v>1</v>
      </c>
      <c r="X9" s="178">
        <f>U9+W9</f>
        <v>5</v>
      </c>
      <c r="Y9" s="178" t="s">
        <v>457</v>
      </c>
      <c r="Z9" s="24" t="s">
        <v>95</v>
      </c>
      <c r="AA9" s="10" t="s">
        <v>161</v>
      </c>
      <c r="AB9" s="35">
        <v>43191</v>
      </c>
    </row>
    <row r="10" spans="1:31" ht="133.5" customHeight="1" x14ac:dyDescent="0.25">
      <c r="A10" s="10" t="s">
        <v>67</v>
      </c>
      <c r="B10" s="10" t="s">
        <v>33</v>
      </c>
      <c r="C10" s="18" t="s">
        <v>101</v>
      </c>
      <c r="D10" s="10" t="s">
        <v>5</v>
      </c>
      <c r="E10" s="10" t="s">
        <v>131</v>
      </c>
      <c r="F10" s="19" t="s">
        <v>201</v>
      </c>
      <c r="G10" s="19" t="s">
        <v>188</v>
      </c>
      <c r="H10" s="6">
        <v>28</v>
      </c>
      <c r="I10" s="48" t="s">
        <v>115</v>
      </c>
      <c r="J10" s="48" t="s">
        <v>115</v>
      </c>
      <c r="K10" s="56" t="s">
        <v>115</v>
      </c>
      <c r="L10" s="56" t="s">
        <v>115</v>
      </c>
      <c r="M10" s="56" t="s">
        <v>115</v>
      </c>
      <c r="N10" s="62" t="s">
        <v>115</v>
      </c>
      <c r="O10" s="62">
        <v>14</v>
      </c>
      <c r="P10" s="112" t="s">
        <v>369</v>
      </c>
      <c r="Q10" s="41" t="s">
        <v>115</v>
      </c>
      <c r="R10" s="41">
        <f>O10</f>
        <v>14</v>
      </c>
      <c r="S10" s="113" t="s">
        <v>369</v>
      </c>
      <c r="T10" s="94">
        <v>7</v>
      </c>
      <c r="U10" s="94">
        <f>14+7</f>
        <v>21</v>
      </c>
      <c r="V10" s="114" t="s">
        <v>432</v>
      </c>
      <c r="W10" s="175" t="s">
        <v>115</v>
      </c>
      <c r="X10" s="175">
        <f>U10</f>
        <v>21</v>
      </c>
      <c r="Y10" s="175" t="s">
        <v>432</v>
      </c>
      <c r="Z10" s="7" t="s">
        <v>94</v>
      </c>
      <c r="AA10" s="10" t="s">
        <v>168</v>
      </c>
      <c r="AB10" s="35" t="s">
        <v>157</v>
      </c>
    </row>
    <row r="11" spans="1:31" ht="169.5" customHeight="1" x14ac:dyDescent="0.25">
      <c r="A11" s="10" t="s">
        <v>66</v>
      </c>
      <c r="B11" s="10" t="s">
        <v>55</v>
      </c>
      <c r="C11" s="18" t="s">
        <v>100</v>
      </c>
      <c r="D11" s="10" t="s">
        <v>5</v>
      </c>
      <c r="E11" s="10" t="s">
        <v>132</v>
      </c>
      <c r="F11" s="19" t="s">
        <v>201</v>
      </c>
      <c r="G11" s="19" t="s">
        <v>200</v>
      </c>
      <c r="H11" s="12">
        <v>704619</v>
      </c>
      <c r="I11" s="47" t="s">
        <v>115</v>
      </c>
      <c r="J11" s="205" t="s">
        <v>442</v>
      </c>
      <c r="K11" s="206" t="s">
        <v>115</v>
      </c>
      <c r="L11" s="206" t="s">
        <v>115</v>
      </c>
      <c r="M11" s="207" t="s">
        <v>443</v>
      </c>
      <c r="N11" s="208" t="s">
        <v>115</v>
      </c>
      <c r="O11" s="208" t="s">
        <v>115</v>
      </c>
      <c r="P11" s="209" t="s">
        <v>502</v>
      </c>
      <c r="Q11" s="210" t="s">
        <v>115</v>
      </c>
      <c r="R11" s="210" t="s">
        <v>115</v>
      </c>
      <c r="S11" s="211" t="s">
        <v>444</v>
      </c>
      <c r="T11" s="212" t="s">
        <v>115</v>
      </c>
      <c r="U11" s="212" t="s">
        <v>115</v>
      </c>
      <c r="V11" s="213" t="s">
        <v>503</v>
      </c>
      <c r="W11" s="179" t="s">
        <v>115</v>
      </c>
      <c r="X11" s="175" t="str">
        <f>U11</f>
        <v>-</v>
      </c>
      <c r="Y11" s="179" t="s">
        <v>445</v>
      </c>
      <c r="Z11" s="7" t="s">
        <v>94</v>
      </c>
      <c r="AA11" s="21" t="s">
        <v>169</v>
      </c>
      <c r="AB11" s="34" t="s">
        <v>157</v>
      </c>
    </row>
    <row r="12" spans="1:31" ht="173.25" customHeight="1" x14ac:dyDescent="0.25">
      <c r="A12" s="10" t="s">
        <v>66</v>
      </c>
      <c r="B12" s="10" t="s">
        <v>87</v>
      </c>
      <c r="C12" s="18" t="s">
        <v>103</v>
      </c>
      <c r="D12" s="10" t="s">
        <v>5</v>
      </c>
      <c r="E12" s="10" t="s">
        <v>132</v>
      </c>
      <c r="F12" s="6" t="s">
        <v>149</v>
      </c>
      <c r="G12" s="6" t="s">
        <v>208</v>
      </c>
      <c r="H12" s="6">
        <v>90</v>
      </c>
      <c r="I12" s="48" t="s">
        <v>115</v>
      </c>
      <c r="J12" s="48" t="s">
        <v>115</v>
      </c>
      <c r="K12" s="56" t="s">
        <v>115</v>
      </c>
      <c r="L12" s="56" t="s">
        <v>115</v>
      </c>
      <c r="M12" s="56" t="s">
        <v>115</v>
      </c>
      <c r="N12" s="69">
        <f>15/16</f>
        <v>0.9375</v>
      </c>
      <c r="O12" s="70">
        <f>15/16</f>
        <v>0.9375</v>
      </c>
      <c r="P12" s="78" t="s">
        <v>390</v>
      </c>
      <c r="Q12" s="82" t="s">
        <v>115</v>
      </c>
      <c r="R12" s="82">
        <f>O12</f>
        <v>0.9375</v>
      </c>
      <c r="S12" s="90" t="s">
        <v>393</v>
      </c>
      <c r="T12" s="97" t="s">
        <v>115</v>
      </c>
      <c r="U12" s="97">
        <f>O12</f>
        <v>0.9375</v>
      </c>
      <c r="V12" s="105" t="s">
        <v>393</v>
      </c>
      <c r="W12" s="177">
        <f>16/16</f>
        <v>1</v>
      </c>
      <c r="X12" s="180">
        <f>31/32</f>
        <v>0.96875</v>
      </c>
      <c r="Y12" s="180" t="s">
        <v>497</v>
      </c>
      <c r="Z12" s="5" t="s">
        <v>92</v>
      </c>
      <c r="AA12" s="10" t="s">
        <v>115</v>
      </c>
      <c r="AB12" s="16"/>
    </row>
    <row r="13" spans="1:31" ht="159" customHeight="1" x14ac:dyDescent="0.25">
      <c r="A13" s="10" t="s">
        <v>66</v>
      </c>
      <c r="B13" s="10" t="s">
        <v>88</v>
      </c>
      <c r="C13" s="18" t="s">
        <v>103</v>
      </c>
      <c r="D13" s="10" t="s">
        <v>5</v>
      </c>
      <c r="E13" s="10" t="s">
        <v>132</v>
      </c>
      <c r="F13" s="6" t="s">
        <v>149</v>
      </c>
      <c r="G13" s="6" t="s">
        <v>208</v>
      </c>
      <c r="H13" s="6">
        <v>70</v>
      </c>
      <c r="I13" s="48" t="s">
        <v>115</v>
      </c>
      <c r="J13" s="48" t="s">
        <v>115</v>
      </c>
      <c r="K13" s="56" t="s">
        <v>115</v>
      </c>
      <c r="L13" s="56" t="s">
        <v>115</v>
      </c>
      <c r="M13" s="56" t="s">
        <v>115</v>
      </c>
      <c r="N13" s="69">
        <f>18/21</f>
        <v>0.8571428571428571</v>
      </c>
      <c r="O13" s="70">
        <f>18/21</f>
        <v>0.8571428571428571</v>
      </c>
      <c r="P13" s="78" t="s">
        <v>391</v>
      </c>
      <c r="Q13" s="82" t="s">
        <v>115</v>
      </c>
      <c r="R13" s="82">
        <f>O13</f>
        <v>0.8571428571428571</v>
      </c>
      <c r="S13" s="90" t="s">
        <v>392</v>
      </c>
      <c r="T13" s="97" t="s">
        <v>115</v>
      </c>
      <c r="U13" s="97">
        <f>O13</f>
        <v>0.8571428571428571</v>
      </c>
      <c r="V13" s="105" t="s">
        <v>392</v>
      </c>
      <c r="W13" s="180">
        <f>15/17</f>
        <v>0.88235294117647056</v>
      </c>
      <c r="X13" s="180">
        <f>33/38</f>
        <v>0.86842105263157898</v>
      </c>
      <c r="Y13" s="180" t="s">
        <v>498</v>
      </c>
      <c r="Z13" s="5" t="s">
        <v>92</v>
      </c>
      <c r="AA13" s="10" t="s">
        <v>115</v>
      </c>
      <c r="AB13" s="16"/>
    </row>
    <row r="14" spans="1:31" ht="149.25" customHeight="1" x14ac:dyDescent="0.25">
      <c r="A14" s="10" t="s">
        <v>66</v>
      </c>
      <c r="B14" s="10" t="s">
        <v>56</v>
      </c>
      <c r="C14" s="18" t="s">
        <v>100</v>
      </c>
      <c r="D14" s="10" t="s">
        <v>5</v>
      </c>
      <c r="E14" s="10" t="s">
        <v>131</v>
      </c>
      <c r="F14" s="6" t="s">
        <v>149</v>
      </c>
      <c r="G14" s="6" t="s">
        <v>200</v>
      </c>
      <c r="H14" s="6">
        <v>83</v>
      </c>
      <c r="I14" s="48" t="s">
        <v>115</v>
      </c>
      <c r="J14" s="48" t="s">
        <v>115</v>
      </c>
      <c r="K14" s="56" t="s">
        <v>115</v>
      </c>
      <c r="L14" s="56" t="s">
        <v>115</v>
      </c>
      <c r="M14" s="56" t="s">
        <v>115</v>
      </c>
      <c r="N14" s="70" t="s">
        <v>115</v>
      </c>
      <c r="O14" s="69">
        <v>0.87649999999999995</v>
      </c>
      <c r="P14" s="71" t="s">
        <v>394</v>
      </c>
      <c r="Q14" s="79" t="s">
        <v>115</v>
      </c>
      <c r="R14" s="85">
        <f>O14</f>
        <v>0.87649999999999995</v>
      </c>
      <c r="S14" s="79" t="s">
        <v>115</v>
      </c>
      <c r="T14" s="92" t="s">
        <v>115</v>
      </c>
      <c r="U14" s="97">
        <v>0.82210000000000005</v>
      </c>
      <c r="V14" s="102" t="s">
        <v>438</v>
      </c>
      <c r="W14" s="181" t="s">
        <v>115</v>
      </c>
      <c r="X14" s="185">
        <f>U14</f>
        <v>0.82210000000000005</v>
      </c>
      <c r="Y14" s="181" t="s">
        <v>438</v>
      </c>
      <c r="Z14" s="7" t="s">
        <v>94</v>
      </c>
      <c r="AA14" s="21" t="s">
        <v>170</v>
      </c>
      <c r="AB14" s="34" t="s">
        <v>157</v>
      </c>
    </row>
    <row r="15" spans="1:31" ht="175.5" customHeight="1" x14ac:dyDescent="0.25">
      <c r="A15" s="10" t="s">
        <v>66</v>
      </c>
      <c r="B15" s="10" t="s">
        <v>57</v>
      </c>
      <c r="C15" s="18" t="s">
        <v>101</v>
      </c>
      <c r="D15" s="10" t="s">
        <v>5</v>
      </c>
      <c r="E15" s="10" t="s">
        <v>131</v>
      </c>
      <c r="F15" s="6" t="s">
        <v>201</v>
      </c>
      <c r="G15" s="6" t="s">
        <v>188</v>
      </c>
      <c r="H15" s="6">
        <v>32</v>
      </c>
      <c r="I15" s="48" t="s">
        <v>115</v>
      </c>
      <c r="J15" s="46" t="s">
        <v>395</v>
      </c>
      <c r="K15" s="56" t="s">
        <v>115</v>
      </c>
      <c r="L15" s="56">
        <v>29</v>
      </c>
      <c r="M15" s="54" t="s">
        <v>396</v>
      </c>
      <c r="N15" s="63" t="s">
        <v>115</v>
      </c>
      <c r="O15" s="63">
        <v>29</v>
      </c>
      <c r="P15" s="119" t="s">
        <v>396</v>
      </c>
      <c r="Q15" s="42" t="s">
        <v>115</v>
      </c>
      <c r="R15" s="42">
        <v>29</v>
      </c>
      <c r="S15" s="120" t="s">
        <v>396</v>
      </c>
      <c r="T15" s="98" t="s">
        <v>115</v>
      </c>
      <c r="U15" s="98">
        <v>29</v>
      </c>
      <c r="V15" s="121" t="s">
        <v>439</v>
      </c>
      <c r="W15" s="182">
        <v>1</v>
      </c>
      <c r="X15" s="182">
        <f>U15+W15</f>
        <v>30</v>
      </c>
      <c r="Y15" s="182" t="s">
        <v>504</v>
      </c>
      <c r="Z15" s="7" t="s">
        <v>94</v>
      </c>
      <c r="AA15" s="10" t="s">
        <v>163</v>
      </c>
      <c r="AB15" s="35">
        <v>43252</v>
      </c>
    </row>
    <row r="16" spans="1:31" ht="216" customHeight="1" x14ac:dyDescent="0.25">
      <c r="A16" s="10" t="s">
        <v>66</v>
      </c>
      <c r="B16" s="10" t="s">
        <v>58</v>
      </c>
      <c r="C16" s="18" t="s">
        <v>101</v>
      </c>
      <c r="D16" s="10" t="s">
        <v>5</v>
      </c>
      <c r="E16" s="10" t="s">
        <v>131</v>
      </c>
      <c r="F16" s="6" t="s">
        <v>149</v>
      </c>
      <c r="G16" s="6" t="s">
        <v>208</v>
      </c>
      <c r="H16" s="6">
        <v>80</v>
      </c>
      <c r="I16" s="48" t="s">
        <v>115</v>
      </c>
      <c r="J16" s="48" t="s">
        <v>115</v>
      </c>
      <c r="K16" s="118">
        <f>2/2</f>
        <v>1</v>
      </c>
      <c r="L16" s="118">
        <f>2/2</f>
        <v>1</v>
      </c>
      <c r="M16" s="54" t="s">
        <v>383</v>
      </c>
      <c r="N16" s="71">
        <f>1/1</f>
        <v>1</v>
      </c>
      <c r="O16" s="72">
        <f>3/3</f>
        <v>1</v>
      </c>
      <c r="P16" s="72" t="s">
        <v>384</v>
      </c>
      <c r="Q16" s="83" t="s">
        <v>115</v>
      </c>
      <c r="R16" s="83">
        <f>O16</f>
        <v>1</v>
      </c>
      <c r="S16" s="83" t="s">
        <v>115</v>
      </c>
      <c r="T16" s="99" t="s">
        <v>115</v>
      </c>
      <c r="U16" s="99">
        <f>O16</f>
        <v>1</v>
      </c>
      <c r="V16" s="99" t="s">
        <v>115</v>
      </c>
      <c r="W16" s="177">
        <f>4/4</f>
        <v>1</v>
      </c>
      <c r="X16" s="177">
        <f>7/7</f>
        <v>1</v>
      </c>
      <c r="Y16" s="177" t="s">
        <v>499</v>
      </c>
      <c r="Z16" s="5" t="s">
        <v>95</v>
      </c>
      <c r="AA16" s="10" t="s">
        <v>115</v>
      </c>
      <c r="AB16" s="35">
        <v>43160</v>
      </c>
      <c r="AC16" s="9"/>
      <c r="AD16" s="9"/>
      <c r="AE16" s="9"/>
    </row>
    <row r="17" spans="1:120" s="13" customFormat="1" ht="113.25" customHeight="1" x14ac:dyDescent="0.25">
      <c r="A17" s="10" t="s">
        <v>66</v>
      </c>
      <c r="B17" s="10" t="s">
        <v>89</v>
      </c>
      <c r="C17" s="18" t="s">
        <v>101</v>
      </c>
      <c r="D17" s="10" t="s">
        <v>5</v>
      </c>
      <c r="E17" s="10" t="s">
        <v>131</v>
      </c>
      <c r="F17" s="6" t="s">
        <v>149</v>
      </c>
      <c r="G17" s="6" t="s">
        <v>208</v>
      </c>
      <c r="H17" s="6">
        <v>200</v>
      </c>
      <c r="I17" s="48" t="s">
        <v>115</v>
      </c>
      <c r="J17" s="46" t="s">
        <v>115</v>
      </c>
      <c r="K17" s="56" t="s">
        <v>115</v>
      </c>
      <c r="L17" s="56" t="s">
        <v>115</v>
      </c>
      <c r="M17" s="56" t="s">
        <v>115</v>
      </c>
      <c r="N17" s="166">
        <f>83/83</f>
        <v>1</v>
      </c>
      <c r="O17" s="73">
        <f>83/200</f>
        <v>0.41499999999999998</v>
      </c>
      <c r="P17" s="157" t="s">
        <v>500</v>
      </c>
      <c r="Q17" s="84" t="s">
        <v>115</v>
      </c>
      <c r="R17" s="84">
        <f>O17</f>
        <v>0.41499999999999998</v>
      </c>
      <c r="S17" s="126" t="s">
        <v>397</v>
      </c>
      <c r="T17" s="100" t="s">
        <v>115</v>
      </c>
      <c r="U17" s="100">
        <f>O17</f>
        <v>0.41499999999999998</v>
      </c>
      <c r="V17" s="167" t="s">
        <v>397</v>
      </c>
      <c r="W17" s="204">
        <f>77/77</f>
        <v>1</v>
      </c>
      <c r="X17" s="204">
        <f>160/200</f>
        <v>0.8</v>
      </c>
      <c r="Y17" s="183" t="s">
        <v>501</v>
      </c>
      <c r="Z17" s="5" t="s">
        <v>92</v>
      </c>
      <c r="AA17" s="10" t="s">
        <v>115</v>
      </c>
      <c r="AB17" s="36"/>
    </row>
    <row r="18" spans="1:120" ht="150" x14ac:dyDescent="0.25">
      <c r="A18" s="10" t="s">
        <v>68</v>
      </c>
      <c r="B18" s="10" t="s">
        <v>13</v>
      </c>
      <c r="C18" s="18" t="s">
        <v>100</v>
      </c>
      <c r="D18" s="10" t="s">
        <v>5</v>
      </c>
      <c r="E18" s="10" t="s">
        <v>130</v>
      </c>
      <c r="F18" s="6" t="s">
        <v>149</v>
      </c>
      <c r="G18" s="6" t="s">
        <v>200</v>
      </c>
      <c r="H18" s="6">
        <v>5.5</v>
      </c>
      <c r="I18" s="48" t="s">
        <v>115</v>
      </c>
      <c r="J18" s="46" t="s">
        <v>301</v>
      </c>
      <c r="K18" s="56" t="s">
        <v>115</v>
      </c>
      <c r="L18" s="140">
        <v>5.6</v>
      </c>
      <c r="M18" s="54" t="s">
        <v>302</v>
      </c>
      <c r="N18" s="74" t="s">
        <v>115</v>
      </c>
      <c r="O18" s="141">
        <v>5.6</v>
      </c>
      <c r="P18" s="76" t="s">
        <v>302</v>
      </c>
      <c r="Q18" s="142" t="s">
        <v>115</v>
      </c>
      <c r="R18" s="142">
        <v>5.2</v>
      </c>
      <c r="S18" s="88" t="s">
        <v>303</v>
      </c>
      <c r="T18" s="95" t="s">
        <v>115</v>
      </c>
      <c r="U18" s="149">
        <f>R18</f>
        <v>5.2</v>
      </c>
      <c r="V18" s="103" t="s">
        <v>304</v>
      </c>
      <c r="W18" s="178" t="s">
        <v>115</v>
      </c>
      <c r="X18" s="192">
        <f>U18</f>
        <v>5.2</v>
      </c>
      <c r="Y18" s="178" t="s">
        <v>304</v>
      </c>
      <c r="Z18" s="7" t="s">
        <v>94</v>
      </c>
      <c r="AA18" s="21" t="s">
        <v>169</v>
      </c>
      <c r="AB18" s="34" t="s">
        <v>157</v>
      </c>
    </row>
    <row r="19" spans="1:120" ht="150" x14ac:dyDescent="0.25">
      <c r="A19" s="10" t="s">
        <v>68</v>
      </c>
      <c r="B19" s="10" t="s">
        <v>14</v>
      </c>
      <c r="C19" s="18" t="s">
        <v>100</v>
      </c>
      <c r="D19" s="10" t="s">
        <v>5</v>
      </c>
      <c r="E19" s="10" t="s">
        <v>130</v>
      </c>
      <c r="F19" s="26" t="s">
        <v>149</v>
      </c>
      <c r="G19" s="26" t="s">
        <v>200</v>
      </c>
      <c r="H19" s="26">
        <v>10.199999999999999</v>
      </c>
      <c r="I19" s="50" t="s">
        <v>115</v>
      </c>
      <c r="J19" s="150" t="s">
        <v>305</v>
      </c>
      <c r="K19" s="58" t="s">
        <v>115</v>
      </c>
      <c r="L19" s="58">
        <v>10.28</v>
      </c>
      <c r="M19" s="151" t="s">
        <v>305</v>
      </c>
      <c r="N19" s="70" t="s">
        <v>115</v>
      </c>
      <c r="O19" s="66">
        <v>10.28</v>
      </c>
      <c r="P19" s="76" t="s">
        <v>305</v>
      </c>
      <c r="Q19" s="81" t="s">
        <v>115</v>
      </c>
      <c r="R19" s="142">
        <v>9.6999999999999993</v>
      </c>
      <c r="S19" s="88" t="s">
        <v>306</v>
      </c>
      <c r="T19" s="95" t="s">
        <v>115</v>
      </c>
      <c r="U19" s="149">
        <f>R19</f>
        <v>9.6999999999999993</v>
      </c>
      <c r="V19" s="103" t="s">
        <v>307</v>
      </c>
      <c r="W19" s="178" t="s">
        <v>115</v>
      </c>
      <c r="X19" s="192">
        <f>U19</f>
        <v>9.6999999999999993</v>
      </c>
      <c r="Y19" s="178" t="s">
        <v>307</v>
      </c>
      <c r="Z19" s="7" t="s">
        <v>94</v>
      </c>
      <c r="AA19" s="21" t="s">
        <v>169</v>
      </c>
      <c r="AB19" s="34" t="s">
        <v>157</v>
      </c>
    </row>
    <row r="20" spans="1:120" ht="409.5" x14ac:dyDescent="0.25">
      <c r="A20" s="10" t="s">
        <v>68</v>
      </c>
      <c r="B20" s="10" t="s">
        <v>15</v>
      </c>
      <c r="C20" s="18" t="s">
        <v>103</v>
      </c>
      <c r="D20" s="10" t="s">
        <v>5</v>
      </c>
      <c r="E20" s="10" t="s">
        <v>130</v>
      </c>
      <c r="F20" s="11" t="s">
        <v>152</v>
      </c>
      <c r="G20" s="11" t="s">
        <v>181</v>
      </c>
      <c r="H20" s="6">
        <v>6</v>
      </c>
      <c r="I20" s="48">
        <v>1</v>
      </c>
      <c r="J20" s="46" t="s">
        <v>308</v>
      </c>
      <c r="K20" s="56" t="s">
        <v>115</v>
      </c>
      <c r="L20" s="56">
        <f>I20</f>
        <v>1</v>
      </c>
      <c r="M20" s="54" t="s">
        <v>309</v>
      </c>
      <c r="N20" s="66" t="s">
        <v>115</v>
      </c>
      <c r="O20" s="63">
        <f>I20</f>
        <v>1</v>
      </c>
      <c r="P20" s="119" t="s">
        <v>309</v>
      </c>
      <c r="Q20" s="79" t="s">
        <v>115</v>
      </c>
      <c r="R20" s="42">
        <f>I20</f>
        <v>1</v>
      </c>
      <c r="S20" s="120" t="s">
        <v>309</v>
      </c>
      <c r="T20" s="98">
        <v>2</v>
      </c>
      <c r="U20" s="98">
        <v>3</v>
      </c>
      <c r="V20" s="102" t="s">
        <v>310</v>
      </c>
      <c r="W20" s="197">
        <v>1</v>
      </c>
      <c r="X20" s="197">
        <f>U20+W20</f>
        <v>4</v>
      </c>
      <c r="Y20" s="181" t="s">
        <v>449</v>
      </c>
      <c r="Z20" s="5" t="s">
        <v>95</v>
      </c>
      <c r="AA20" s="4" t="s">
        <v>115</v>
      </c>
      <c r="AB20" s="10" t="s">
        <v>158</v>
      </c>
    </row>
    <row r="21" spans="1:120" ht="255" x14ac:dyDescent="0.25">
      <c r="A21" s="10" t="s">
        <v>69</v>
      </c>
      <c r="B21" s="10" t="s">
        <v>42</v>
      </c>
      <c r="C21" s="18" t="s">
        <v>100</v>
      </c>
      <c r="D21" s="10" t="s">
        <v>5</v>
      </c>
      <c r="E21" s="10" t="s">
        <v>133</v>
      </c>
      <c r="F21" s="11" t="s">
        <v>153</v>
      </c>
      <c r="G21" s="11" t="s">
        <v>181</v>
      </c>
      <c r="H21" s="12">
        <v>6000</v>
      </c>
      <c r="I21" s="47">
        <v>40</v>
      </c>
      <c r="J21" s="107" t="s">
        <v>311</v>
      </c>
      <c r="K21" s="55">
        <v>529</v>
      </c>
      <c r="L21" s="55">
        <f>569</f>
        <v>569</v>
      </c>
      <c r="M21" s="108" t="s">
        <v>312</v>
      </c>
      <c r="N21" s="66">
        <v>101</v>
      </c>
      <c r="O21" s="66">
        <v>670</v>
      </c>
      <c r="P21" s="152" t="s">
        <v>315</v>
      </c>
      <c r="Q21" s="81">
        <v>422</v>
      </c>
      <c r="R21" s="41">
        <v>1092</v>
      </c>
      <c r="S21" s="153" t="s">
        <v>313</v>
      </c>
      <c r="T21" s="94">
        <v>277</v>
      </c>
      <c r="U21" s="94">
        <v>1369</v>
      </c>
      <c r="V21" s="154" t="s">
        <v>314</v>
      </c>
      <c r="W21" s="198">
        <v>1168</v>
      </c>
      <c r="X21" s="198">
        <f>U21+W21</f>
        <v>2537</v>
      </c>
      <c r="Y21" s="184" t="s">
        <v>450</v>
      </c>
      <c r="Z21" s="5" t="s">
        <v>95</v>
      </c>
      <c r="AA21" s="33" t="s">
        <v>115</v>
      </c>
      <c r="AB21" s="35">
        <v>43160</v>
      </c>
    </row>
    <row r="22" spans="1:120" ht="409.5" x14ac:dyDescent="0.25">
      <c r="A22" s="10" t="s">
        <v>69</v>
      </c>
      <c r="B22" s="10" t="s">
        <v>116</v>
      </c>
      <c r="C22" s="18" t="s">
        <v>100</v>
      </c>
      <c r="D22" s="10" t="s">
        <v>5</v>
      </c>
      <c r="E22" s="10" t="s">
        <v>133</v>
      </c>
      <c r="F22" s="11" t="s">
        <v>154</v>
      </c>
      <c r="G22" s="11" t="s">
        <v>181</v>
      </c>
      <c r="H22" s="12">
        <v>8200</v>
      </c>
      <c r="I22" s="47">
        <v>362</v>
      </c>
      <c r="J22" s="107" t="s">
        <v>316</v>
      </c>
      <c r="K22" s="55">
        <v>1534</v>
      </c>
      <c r="L22" s="55">
        <v>1896</v>
      </c>
      <c r="M22" s="108" t="s">
        <v>317</v>
      </c>
      <c r="N22" s="62">
        <v>736</v>
      </c>
      <c r="O22" s="62">
        <v>2632</v>
      </c>
      <c r="P22" s="72" t="s">
        <v>318</v>
      </c>
      <c r="Q22" s="41">
        <v>958</v>
      </c>
      <c r="R22" s="41">
        <v>3590</v>
      </c>
      <c r="S22" s="83" t="s">
        <v>319</v>
      </c>
      <c r="T22" s="94">
        <v>594</v>
      </c>
      <c r="U22" s="94">
        <v>4184</v>
      </c>
      <c r="V22" s="99" t="s">
        <v>320</v>
      </c>
      <c r="W22" s="198">
        <v>585</v>
      </c>
      <c r="X22" s="198">
        <f>U22+W22</f>
        <v>4769</v>
      </c>
      <c r="Y22" s="177" t="s">
        <v>451</v>
      </c>
      <c r="Z22" s="5" t="s">
        <v>95</v>
      </c>
      <c r="AA22" s="33" t="s">
        <v>115</v>
      </c>
      <c r="AB22" s="35">
        <v>43160</v>
      </c>
    </row>
    <row r="23" spans="1:120" ht="240" x14ac:dyDescent="0.25">
      <c r="A23" s="10" t="s">
        <v>70</v>
      </c>
      <c r="B23" s="10" t="s">
        <v>96</v>
      </c>
      <c r="C23" s="18" t="s">
        <v>101</v>
      </c>
      <c r="D23" s="10" t="s">
        <v>5</v>
      </c>
      <c r="E23" s="10" t="s">
        <v>132</v>
      </c>
      <c r="F23" s="11" t="s">
        <v>201</v>
      </c>
      <c r="G23" s="11" t="s">
        <v>181</v>
      </c>
      <c r="H23" s="6">
        <v>11</v>
      </c>
      <c r="I23" s="48" t="s">
        <v>115</v>
      </c>
      <c r="J23" s="46" t="s">
        <v>378</v>
      </c>
      <c r="K23" s="56" t="s">
        <v>115</v>
      </c>
      <c r="L23" s="56" t="s">
        <v>115</v>
      </c>
      <c r="M23" s="54" t="s">
        <v>371</v>
      </c>
      <c r="N23" s="66" t="s">
        <v>115</v>
      </c>
      <c r="O23" s="66" t="s">
        <v>115</v>
      </c>
      <c r="P23" s="76" t="s">
        <v>371</v>
      </c>
      <c r="Q23" s="81">
        <v>7</v>
      </c>
      <c r="R23" s="81">
        <v>7</v>
      </c>
      <c r="S23" s="88" t="s">
        <v>373</v>
      </c>
      <c r="T23" s="95">
        <v>1</v>
      </c>
      <c r="U23" s="95">
        <f>R23+T23</f>
        <v>8</v>
      </c>
      <c r="V23" s="103" t="s">
        <v>372</v>
      </c>
      <c r="W23" s="178">
        <v>3</v>
      </c>
      <c r="X23" s="178">
        <f>U23+W23</f>
        <v>11</v>
      </c>
      <c r="Y23" s="178" t="s">
        <v>506</v>
      </c>
      <c r="Z23" s="5" t="s">
        <v>95</v>
      </c>
      <c r="AA23" s="10" t="s">
        <v>161</v>
      </c>
      <c r="AB23" s="35">
        <v>43191</v>
      </c>
    </row>
    <row r="24" spans="1:120" ht="210" x14ac:dyDescent="0.25">
      <c r="A24" s="10" t="s">
        <v>70</v>
      </c>
      <c r="B24" s="10" t="s">
        <v>54</v>
      </c>
      <c r="C24" s="18" t="s">
        <v>101</v>
      </c>
      <c r="D24" s="10" t="s">
        <v>5</v>
      </c>
      <c r="E24" s="10" t="s">
        <v>132</v>
      </c>
      <c r="F24" s="11" t="s">
        <v>201</v>
      </c>
      <c r="G24" s="11" t="s">
        <v>181</v>
      </c>
      <c r="H24" s="6">
        <v>8</v>
      </c>
      <c r="I24" s="48" t="s">
        <v>115</v>
      </c>
      <c r="J24" s="46" t="s">
        <v>377</v>
      </c>
      <c r="K24" s="56" t="s">
        <v>115</v>
      </c>
      <c r="L24" s="56" t="s">
        <v>115</v>
      </c>
      <c r="M24" s="54" t="s">
        <v>377</v>
      </c>
      <c r="N24" s="66" t="s">
        <v>115</v>
      </c>
      <c r="O24" s="66" t="s">
        <v>115</v>
      </c>
      <c r="P24" s="76" t="s">
        <v>377</v>
      </c>
      <c r="Q24" s="81">
        <v>1</v>
      </c>
      <c r="R24" s="81">
        <v>1</v>
      </c>
      <c r="S24" s="88" t="s">
        <v>375</v>
      </c>
      <c r="T24" s="95">
        <v>1</v>
      </c>
      <c r="U24" s="95">
        <f>R24+T24</f>
        <v>2</v>
      </c>
      <c r="V24" s="103" t="s">
        <v>374</v>
      </c>
      <c r="W24" s="178">
        <v>1</v>
      </c>
      <c r="X24" s="178">
        <f>U24+W24</f>
        <v>3</v>
      </c>
      <c r="Y24" s="178" t="s">
        <v>507</v>
      </c>
      <c r="Z24" s="5" t="s">
        <v>95</v>
      </c>
      <c r="AA24" s="10" t="s">
        <v>115</v>
      </c>
      <c r="AB24" s="35">
        <v>43221</v>
      </c>
    </row>
    <row r="25" spans="1:120" ht="270" x14ac:dyDescent="0.25">
      <c r="A25" s="10" t="s">
        <v>71</v>
      </c>
      <c r="B25" s="10" t="s">
        <v>61</v>
      </c>
      <c r="C25" s="18" t="s">
        <v>103</v>
      </c>
      <c r="D25" s="10" t="s">
        <v>5</v>
      </c>
      <c r="E25" s="10" t="s">
        <v>130</v>
      </c>
      <c r="F25" s="11" t="s">
        <v>201</v>
      </c>
      <c r="G25" s="11" t="s">
        <v>208</v>
      </c>
      <c r="H25" s="6">
        <v>3</v>
      </c>
      <c r="I25" s="48" t="s">
        <v>115</v>
      </c>
      <c r="J25" s="46" t="s">
        <v>376</v>
      </c>
      <c r="K25" s="56" t="s">
        <v>115</v>
      </c>
      <c r="L25" s="56" t="s">
        <v>115</v>
      </c>
      <c r="M25" s="54" t="s">
        <v>376</v>
      </c>
      <c r="N25" s="66" t="s">
        <v>115</v>
      </c>
      <c r="O25" s="66" t="s">
        <v>115</v>
      </c>
      <c r="P25" s="76" t="s">
        <v>376</v>
      </c>
      <c r="Q25" s="81" t="s">
        <v>115</v>
      </c>
      <c r="R25" s="81" t="s">
        <v>115</v>
      </c>
      <c r="S25" s="88" t="s">
        <v>376</v>
      </c>
      <c r="T25" s="101" t="s">
        <v>115</v>
      </c>
      <c r="U25" s="101" t="s">
        <v>115</v>
      </c>
      <c r="V25" s="103" t="s">
        <v>376</v>
      </c>
      <c r="W25" s="178">
        <v>2</v>
      </c>
      <c r="X25" s="178">
        <v>2</v>
      </c>
      <c r="Y25" s="178" t="s">
        <v>508</v>
      </c>
      <c r="Z25" s="5" t="s">
        <v>95</v>
      </c>
      <c r="AA25" s="10" t="s">
        <v>163</v>
      </c>
      <c r="AB25" s="10" t="s">
        <v>159</v>
      </c>
    </row>
    <row r="26" spans="1:120" ht="409.5" x14ac:dyDescent="0.25">
      <c r="A26" s="10" t="s">
        <v>71</v>
      </c>
      <c r="B26" s="10" t="s">
        <v>62</v>
      </c>
      <c r="C26" s="18" t="s">
        <v>101</v>
      </c>
      <c r="D26" s="10" t="s">
        <v>5</v>
      </c>
      <c r="E26" s="10" t="s">
        <v>131</v>
      </c>
      <c r="F26" s="11" t="s">
        <v>201</v>
      </c>
      <c r="G26" s="11" t="s">
        <v>181</v>
      </c>
      <c r="H26" s="6">
        <v>40</v>
      </c>
      <c r="I26" s="48" t="s">
        <v>115</v>
      </c>
      <c r="J26" s="46" t="s">
        <v>380</v>
      </c>
      <c r="K26" s="56" t="s">
        <v>115</v>
      </c>
      <c r="L26" s="56" t="s">
        <v>115</v>
      </c>
      <c r="M26" s="54" t="s">
        <v>380</v>
      </c>
      <c r="N26" s="66" t="s">
        <v>115</v>
      </c>
      <c r="O26" s="66" t="s">
        <v>115</v>
      </c>
      <c r="P26" s="76" t="s">
        <v>380</v>
      </c>
      <c r="Q26" s="81">
        <v>23</v>
      </c>
      <c r="R26" s="81">
        <v>23</v>
      </c>
      <c r="S26" s="88" t="s">
        <v>379</v>
      </c>
      <c r="T26" s="95">
        <v>14</v>
      </c>
      <c r="U26" s="95">
        <f>R26+T26</f>
        <v>37</v>
      </c>
      <c r="V26" s="103" t="s">
        <v>382</v>
      </c>
      <c r="W26" s="178">
        <v>3</v>
      </c>
      <c r="X26" s="178">
        <f>U26+W26</f>
        <v>40</v>
      </c>
      <c r="Y26" s="178" t="s">
        <v>509</v>
      </c>
      <c r="Z26" s="7" t="s">
        <v>94</v>
      </c>
      <c r="AA26" s="10" t="s">
        <v>164</v>
      </c>
      <c r="AB26" s="35">
        <v>43191</v>
      </c>
    </row>
    <row r="27" spans="1:120" ht="409.5" x14ac:dyDescent="0.25">
      <c r="A27" s="10" t="s">
        <v>71</v>
      </c>
      <c r="B27" s="10" t="s">
        <v>63</v>
      </c>
      <c r="C27" s="18" t="s">
        <v>101</v>
      </c>
      <c r="D27" s="10" t="s">
        <v>5</v>
      </c>
      <c r="E27" s="10" t="s">
        <v>131</v>
      </c>
      <c r="F27" s="11" t="s">
        <v>201</v>
      </c>
      <c r="G27" s="11" t="s">
        <v>181</v>
      </c>
      <c r="H27" s="6">
        <v>40</v>
      </c>
      <c r="I27" s="48" t="s">
        <v>115</v>
      </c>
      <c r="J27" s="46" t="s">
        <v>381</v>
      </c>
      <c r="K27" s="56" t="s">
        <v>115</v>
      </c>
      <c r="L27" s="56" t="s">
        <v>115</v>
      </c>
      <c r="M27" s="54" t="s">
        <v>381</v>
      </c>
      <c r="N27" s="66" t="s">
        <v>115</v>
      </c>
      <c r="O27" s="66" t="s">
        <v>115</v>
      </c>
      <c r="P27" s="76" t="s">
        <v>381</v>
      </c>
      <c r="Q27" s="81">
        <v>23</v>
      </c>
      <c r="R27" s="81">
        <v>23</v>
      </c>
      <c r="S27" s="88" t="s">
        <v>385</v>
      </c>
      <c r="T27" s="95">
        <v>14</v>
      </c>
      <c r="U27" s="95">
        <f>R27+T27</f>
        <v>37</v>
      </c>
      <c r="V27" s="103" t="s">
        <v>386</v>
      </c>
      <c r="W27" s="178">
        <v>3</v>
      </c>
      <c r="X27" s="178">
        <f>U27+W27</f>
        <v>40</v>
      </c>
      <c r="Y27" s="178" t="s">
        <v>510</v>
      </c>
      <c r="Z27" s="7" t="s">
        <v>94</v>
      </c>
      <c r="AA27" s="10" t="s">
        <v>164</v>
      </c>
      <c r="AB27" s="35">
        <v>43191</v>
      </c>
    </row>
    <row r="28" spans="1:120" ht="409.5" x14ac:dyDescent="0.25">
      <c r="A28" s="10" t="s">
        <v>71</v>
      </c>
      <c r="B28" s="10" t="s">
        <v>64</v>
      </c>
      <c r="C28" s="18" t="s">
        <v>101</v>
      </c>
      <c r="D28" s="10" t="s">
        <v>5</v>
      </c>
      <c r="E28" s="10" t="s">
        <v>131</v>
      </c>
      <c r="F28" s="11" t="s">
        <v>201</v>
      </c>
      <c r="G28" s="11" t="s">
        <v>181</v>
      </c>
      <c r="H28" s="6">
        <v>40</v>
      </c>
      <c r="I28" s="48" t="s">
        <v>115</v>
      </c>
      <c r="J28" s="46" t="s">
        <v>388</v>
      </c>
      <c r="K28" s="56" t="s">
        <v>115</v>
      </c>
      <c r="L28" s="56" t="s">
        <v>115</v>
      </c>
      <c r="M28" s="54" t="s">
        <v>388</v>
      </c>
      <c r="N28" s="66" t="s">
        <v>115</v>
      </c>
      <c r="O28" s="66" t="s">
        <v>115</v>
      </c>
      <c r="P28" s="76" t="s">
        <v>388</v>
      </c>
      <c r="Q28" s="81">
        <v>23</v>
      </c>
      <c r="R28" s="81">
        <v>23</v>
      </c>
      <c r="S28" s="88" t="s">
        <v>387</v>
      </c>
      <c r="T28" s="95">
        <v>13</v>
      </c>
      <c r="U28" s="95">
        <f>R28+T28</f>
        <v>36</v>
      </c>
      <c r="V28" s="103" t="s">
        <v>389</v>
      </c>
      <c r="W28" s="178">
        <v>4</v>
      </c>
      <c r="X28" s="178">
        <f>U28+W28</f>
        <v>40</v>
      </c>
      <c r="Y28" s="178" t="s">
        <v>511</v>
      </c>
      <c r="Z28" s="7" t="s">
        <v>94</v>
      </c>
      <c r="AA28" s="10" t="s">
        <v>164</v>
      </c>
      <c r="AB28" s="35">
        <v>43191</v>
      </c>
    </row>
    <row r="29" spans="1:120" s="1" customFormat="1" ht="183" customHeight="1" x14ac:dyDescent="0.25">
      <c r="A29" s="10" t="s">
        <v>72</v>
      </c>
      <c r="B29" s="10" t="s">
        <v>6</v>
      </c>
      <c r="C29" s="18" t="s">
        <v>100</v>
      </c>
      <c r="D29" s="10" t="s">
        <v>5</v>
      </c>
      <c r="E29" s="10" t="s">
        <v>132</v>
      </c>
      <c r="F29" s="12" t="s">
        <v>201</v>
      </c>
      <c r="G29" s="12" t="s">
        <v>181</v>
      </c>
      <c r="H29" s="12" t="s">
        <v>115</v>
      </c>
      <c r="I29" s="47" t="s">
        <v>115</v>
      </c>
      <c r="J29" s="47" t="s">
        <v>115</v>
      </c>
      <c r="K29" s="55" t="s">
        <v>115</v>
      </c>
      <c r="L29" s="55" t="s">
        <v>115</v>
      </c>
      <c r="M29" s="55" t="s">
        <v>115</v>
      </c>
      <c r="N29" s="62">
        <v>1347</v>
      </c>
      <c r="O29" s="62">
        <v>1347</v>
      </c>
      <c r="P29" s="76" t="s">
        <v>321</v>
      </c>
      <c r="Q29" s="81" t="s">
        <v>115</v>
      </c>
      <c r="R29" s="41">
        <f>O29</f>
        <v>1347</v>
      </c>
      <c r="S29" s="88" t="s">
        <v>321</v>
      </c>
      <c r="T29" s="95" t="s">
        <v>115</v>
      </c>
      <c r="U29" s="94">
        <f>O29</f>
        <v>1347</v>
      </c>
      <c r="V29" s="103" t="s">
        <v>321</v>
      </c>
      <c r="W29" s="200" t="s">
        <v>115</v>
      </c>
      <c r="X29" s="198">
        <f>R29</f>
        <v>1347</v>
      </c>
      <c r="Y29" s="178" t="s">
        <v>321</v>
      </c>
      <c r="Z29" s="7" t="s">
        <v>94</v>
      </c>
      <c r="AA29" s="165" t="s">
        <v>117</v>
      </c>
      <c r="AB29" s="16"/>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row>
    <row r="30" spans="1:120" ht="225" x14ac:dyDescent="0.25">
      <c r="A30" s="10" t="s">
        <v>72</v>
      </c>
      <c r="B30" s="10" t="s">
        <v>7</v>
      </c>
      <c r="C30" s="18" t="s">
        <v>100</v>
      </c>
      <c r="D30" s="10" t="s">
        <v>5</v>
      </c>
      <c r="E30" s="10" t="s">
        <v>134</v>
      </c>
      <c r="F30" s="19" t="s">
        <v>201</v>
      </c>
      <c r="G30" s="19" t="s">
        <v>181</v>
      </c>
      <c r="H30" s="12">
        <v>33500</v>
      </c>
      <c r="I30" s="47" t="s">
        <v>115</v>
      </c>
      <c r="J30" s="107" t="s">
        <v>327</v>
      </c>
      <c r="K30" s="55">
        <v>2455</v>
      </c>
      <c r="L30" s="55">
        <v>2455</v>
      </c>
      <c r="M30" s="108" t="s">
        <v>322</v>
      </c>
      <c r="N30" s="62">
        <v>3590</v>
      </c>
      <c r="O30" s="62">
        <f>L30+N30</f>
        <v>6045</v>
      </c>
      <c r="P30" s="76" t="s">
        <v>323</v>
      </c>
      <c r="Q30" s="41">
        <v>2973</v>
      </c>
      <c r="R30" s="41">
        <f>O30+Q30</f>
        <v>9018</v>
      </c>
      <c r="S30" s="87" t="s">
        <v>324</v>
      </c>
      <c r="T30" s="94">
        <v>2341</v>
      </c>
      <c r="U30" s="94">
        <f>R30+T30</f>
        <v>11359</v>
      </c>
      <c r="V30" s="102" t="s">
        <v>325</v>
      </c>
      <c r="W30" s="198">
        <v>2041</v>
      </c>
      <c r="X30" s="198">
        <f>U30+W30</f>
        <v>13400</v>
      </c>
      <c r="Y30" s="181" t="s">
        <v>459</v>
      </c>
      <c r="Z30" s="7" t="s">
        <v>94</v>
      </c>
      <c r="AA30" s="10" t="s">
        <v>115</v>
      </c>
      <c r="AB30" s="35">
        <v>43160</v>
      </c>
    </row>
    <row r="31" spans="1:120" ht="135" x14ac:dyDescent="0.25">
      <c r="A31" s="10" t="s">
        <v>72</v>
      </c>
      <c r="B31" s="10" t="s">
        <v>82</v>
      </c>
      <c r="C31" s="18" t="s">
        <v>100</v>
      </c>
      <c r="D31" s="10" t="s">
        <v>5</v>
      </c>
      <c r="E31" s="10" t="s">
        <v>134</v>
      </c>
      <c r="F31" s="19" t="s">
        <v>201</v>
      </c>
      <c r="G31" s="19" t="s">
        <v>181</v>
      </c>
      <c r="H31" s="12">
        <v>33500</v>
      </c>
      <c r="I31" s="47" t="s">
        <v>115</v>
      </c>
      <c r="J31" s="107" t="s">
        <v>326</v>
      </c>
      <c r="K31" s="55" t="s">
        <v>115</v>
      </c>
      <c r="L31" s="55" t="s">
        <v>115</v>
      </c>
      <c r="M31" s="108" t="s">
        <v>328</v>
      </c>
      <c r="N31" s="62">
        <v>5423</v>
      </c>
      <c r="O31" s="62">
        <f>N31</f>
        <v>5423</v>
      </c>
      <c r="P31" s="125" t="s">
        <v>329</v>
      </c>
      <c r="Q31" s="41">
        <v>3229</v>
      </c>
      <c r="R31" s="41">
        <f>O31+Q31</f>
        <v>8652</v>
      </c>
      <c r="S31" s="155" t="s">
        <v>330</v>
      </c>
      <c r="T31" s="94">
        <v>2036</v>
      </c>
      <c r="U31" s="94">
        <f>R31+T31</f>
        <v>10688</v>
      </c>
      <c r="V31" s="156" t="s">
        <v>460</v>
      </c>
      <c r="W31" s="198">
        <v>1491</v>
      </c>
      <c r="X31" s="198">
        <f>U31+W31</f>
        <v>12179</v>
      </c>
      <c r="Y31" s="185" t="s">
        <v>461</v>
      </c>
      <c r="Z31" s="5" t="s">
        <v>92</v>
      </c>
      <c r="AA31" s="10" t="s">
        <v>115</v>
      </c>
      <c r="AB31" s="37"/>
    </row>
    <row r="32" spans="1:120" ht="140.25" customHeight="1" x14ac:dyDescent="0.25">
      <c r="A32" s="10" t="s">
        <v>72</v>
      </c>
      <c r="B32" s="10" t="s">
        <v>8</v>
      </c>
      <c r="C32" s="18" t="s">
        <v>100</v>
      </c>
      <c r="D32" s="10" t="s">
        <v>5</v>
      </c>
      <c r="E32" s="10" t="s">
        <v>132</v>
      </c>
      <c r="F32" s="19" t="s">
        <v>201</v>
      </c>
      <c r="G32" s="19" t="s">
        <v>181</v>
      </c>
      <c r="H32" s="12">
        <v>5000</v>
      </c>
      <c r="I32" s="47" t="s">
        <v>115</v>
      </c>
      <c r="J32" s="107" t="s">
        <v>331</v>
      </c>
      <c r="K32" s="55" t="s">
        <v>115</v>
      </c>
      <c r="L32" s="55" t="s">
        <v>115</v>
      </c>
      <c r="M32" s="108" t="s">
        <v>332</v>
      </c>
      <c r="N32" s="75">
        <v>635</v>
      </c>
      <c r="O32" s="62">
        <v>635</v>
      </c>
      <c r="P32" s="157" t="s">
        <v>463</v>
      </c>
      <c r="Q32" s="84" t="s">
        <v>115</v>
      </c>
      <c r="R32" s="41">
        <f>O32</f>
        <v>635</v>
      </c>
      <c r="S32" s="126" t="s">
        <v>333</v>
      </c>
      <c r="T32" s="100" t="s">
        <v>115</v>
      </c>
      <c r="U32" s="94">
        <f>R32</f>
        <v>635</v>
      </c>
      <c r="V32" s="156" t="s">
        <v>334</v>
      </c>
      <c r="W32" s="186" t="s">
        <v>115</v>
      </c>
      <c r="X32" s="198">
        <f>U32</f>
        <v>635</v>
      </c>
      <c r="Y32" s="185" t="s">
        <v>462</v>
      </c>
      <c r="Z32" s="7" t="s">
        <v>94</v>
      </c>
      <c r="AA32" s="10" t="s">
        <v>115</v>
      </c>
      <c r="AB32" s="35">
        <v>43160</v>
      </c>
    </row>
    <row r="33" spans="1:122" s="1" customFormat="1" ht="255" x14ac:dyDescent="0.25">
      <c r="A33" s="10" t="s">
        <v>72</v>
      </c>
      <c r="B33" s="10" t="s">
        <v>9</v>
      </c>
      <c r="C33" s="18" t="s">
        <v>100</v>
      </c>
      <c r="D33" s="10" t="s">
        <v>5</v>
      </c>
      <c r="E33" s="10" t="s">
        <v>134</v>
      </c>
      <c r="F33" s="19" t="s">
        <v>335</v>
      </c>
      <c r="G33" s="19" t="s">
        <v>181</v>
      </c>
      <c r="H33" s="12">
        <v>23000</v>
      </c>
      <c r="I33" s="47">
        <v>5821</v>
      </c>
      <c r="J33" s="107" t="s">
        <v>422</v>
      </c>
      <c r="K33" s="55">
        <v>7845</v>
      </c>
      <c r="L33" s="55">
        <f>I33+K33</f>
        <v>13666</v>
      </c>
      <c r="M33" s="108" t="s">
        <v>423</v>
      </c>
      <c r="N33" s="62">
        <v>7440</v>
      </c>
      <c r="O33" s="62">
        <f>L33+N33</f>
        <v>21106</v>
      </c>
      <c r="P33" s="157" t="s">
        <v>424</v>
      </c>
      <c r="Q33" s="41">
        <v>7689</v>
      </c>
      <c r="R33" s="41">
        <f>O33+Q33</f>
        <v>28795</v>
      </c>
      <c r="S33" s="126" t="s">
        <v>425</v>
      </c>
      <c r="T33" s="100" t="s">
        <v>115</v>
      </c>
      <c r="U33" s="94">
        <f>R33</f>
        <v>28795</v>
      </c>
      <c r="V33" s="100" t="s">
        <v>115</v>
      </c>
      <c r="W33" s="186" t="s">
        <v>115</v>
      </c>
      <c r="X33" s="198">
        <f>U33</f>
        <v>28795</v>
      </c>
      <c r="Y33" s="185" t="s">
        <v>469</v>
      </c>
      <c r="Z33" s="7" t="s">
        <v>94</v>
      </c>
      <c r="AA33" s="25" t="s">
        <v>115</v>
      </c>
      <c r="AB33" s="158">
        <v>43132</v>
      </c>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row>
    <row r="34" spans="1:122" ht="240" x14ac:dyDescent="0.25">
      <c r="A34" s="10" t="s">
        <v>72</v>
      </c>
      <c r="B34" s="10" t="s">
        <v>10</v>
      </c>
      <c r="C34" s="18" t="s">
        <v>100</v>
      </c>
      <c r="D34" s="10" t="s">
        <v>5</v>
      </c>
      <c r="E34" s="10" t="s">
        <v>134</v>
      </c>
      <c r="F34" s="12" t="s">
        <v>149</v>
      </c>
      <c r="G34" s="159" t="s">
        <v>181</v>
      </c>
      <c r="H34" s="12">
        <v>50</v>
      </c>
      <c r="I34" s="117">
        <f>116/116</f>
        <v>1</v>
      </c>
      <c r="J34" s="107" t="s">
        <v>336</v>
      </c>
      <c r="K34" s="123">
        <f>598/601</f>
        <v>0.99500831946755408</v>
      </c>
      <c r="L34" s="123">
        <f>(116+598)/(116+601)</f>
        <v>0.99581589958159</v>
      </c>
      <c r="M34" s="108" t="s">
        <v>337</v>
      </c>
      <c r="N34" s="69">
        <f>165/169</f>
        <v>0.97633136094674555</v>
      </c>
      <c r="O34" s="70">
        <f>(116+598+165)/(116+601+169)</f>
        <v>0.99209932279909707</v>
      </c>
      <c r="P34" s="72" t="s">
        <v>338</v>
      </c>
      <c r="Q34" s="82">
        <f>325/349</f>
        <v>0.93123209169054444</v>
      </c>
      <c r="R34" s="82">
        <f>(116+598+165+325)/(116+601+169+349)</f>
        <v>0.97489878542510122</v>
      </c>
      <c r="S34" s="83" t="s">
        <v>339</v>
      </c>
      <c r="T34" s="93">
        <f>985/985</f>
        <v>1</v>
      </c>
      <c r="U34" s="97">
        <f>(116+598+165+325+985)/(116+601+169+349+985)</f>
        <v>0.98603603603603607</v>
      </c>
      <c r="V34" s="99" t="s">
        <v>465</v>
      </c>
      <c r="W34" s="180">
        <f>511/847</f>
        <v>0.60330578512396693</v>
      </c>
      <c r="X34" s="180">
        <f>(116+598+165+325+985+511)/(116+601+169+349+985+847)</f>
        <v>0.88033909357678508</v>
      </c>
      <c r="Y34" s="177" t="s">
        <v>466</v>
      </c>
      <c r="Z34" s="7" t="s">
        <v>94</v>
      </c>
      <c r="AA34" s="10" t="s">
        <v>115</v>
      </c>
      <c r="AB34" s="35">
        <v>43132</v>
      </c>
    </row>
    <row r="35" spans="1:122" ht="143.25" customHeight="1" x14ac:dyDescent="0.25">
      <c r="A35" s="10" t="s">
        <v>72</v>
      </c>
      <c r="B35" s="10" t="s">
        <v>11</v>
      </c>
      <c r="C35" s="18" t="s">
        <v>100</v>
      </c>
      <c r="D35" s="10" t="s">
        <v>5</v>
      </c>
      <c r="E35" s="10" t="s">
        <v>132</v>
      </c>
      <c r="F35" s="19" t="s">
        <v>335</v>
      </c>
      <c r="G35" s="19" t="s">
        <v>181</v>
      </c>
      <c r="H35" s="12">
        <v>26800</v>
      </c>
      <c r="I35" s="47" t="s">
        <v>115</v>
      </c>
      <c r="J35" s="107" t="s">
        <v>340</v>
      </c>
      <c r="K35" s="55">
        <f>324+368</f>
        <v>692</v>
      </c>
      <c r="L35" s="55">
        <f>K35</f>
        <v>692</v>
      </c>
      <c r="M35" s="108" t="s">
        <v>342</v>
      </c>
      <c r="N35" s="62">
        <v>350</v>
      </c>
      <c r="O35" s="62">
        <f>L35+N35</f>
        <v>1042</v>
      </c>
      <c r="P35" s="71" t="s">
        <v>341</v>
      </c>
      <c r="Q35" s="41">
        <v>363</v>
      </c>
      <c r="R35" s="110">
        <f>O35+Q35</f>
        <v>1405</v>
      </c>
      <c r="S35" s="87" t="s">
        <v>343</v>
      </c>
      <c r="T35" s="111">
        <v>123</v>
      </c>
      <c r="U35" s="111">
        <f>R35+T35</f>
        <v>1528</v>
      </c>
      <c r="V35" s="102" t="s">
        <v>344</v>
      </c>
      <c r="W35" s="201">
        <v>306</v>
      </c>
      <c r="X35" s="201">
        <f>U35+W35</f>
        <v>1834</v>
      </c>
      <c r="Y35" s="181" t="s">
        <v>467</v>
      </c>
      <c r="Z35" s="7" t="s">
        <v>94</v>
      </c>
      <c r="AA35" s="10" t="s">
        <v>115</v>
      </c>
      <c r="AB35" s="35">
        <v>43132</v>
      </c>
    </row>
    <row r="36" spans="1:122" ht="120" x14ac:dyDescent="0.25">
      <c r="A36" s="10" t="s">
        <v>72</v>
      </c>
      <c r="B36" s="10" t="s">
        <v>12</v>
      </c>
      <c r="C36" s="18" t="s">
        <v>100</v>
      </c>
      <c r="D36" s="10" t="s">
        <v>5</v>
      </c>
      <c r="E36" s="10" t="s">
        <v>134</v>
      </c>
      <c r="F36" s="19" t="s">
        <v>346</v>
      </c>
      <c r="G36" s="19" t="s">
        <v>181</v>
      </c>
      <c r="H36" s="12">
        <v>21500</v>
      </c>
      <c r="I36" s="47" t="s">
        <v>115</v>
      </c>
      <c r="J36" s="107" t="s">
        <v>345</v>
      </c>
      <c r="K36" s="55" t="s">
        <v>115</v>
      </c>
      <c r="L36" s="55" t="s">
        <v>115</v>
      </c>
      <c r="M36" s="108" t="s">
        <v>347</v>
      </c>
      <c r="N36" s="62" t="s">
        <v>115</v>
      </c>
      <c r="O36" s="62" t="s">
        <v>115</v>
      </c>
      <c r="P36" s="112" t="s">
        <v>348</v>
      </c>
      <c r="Q36" s="41">
        <v>657</v>
      </c>
      <c r="R36" s="41">
        <f>Q36</f>
        <v>657</v>
      </c>
      <c r="S36" s="113" t="s">
        <v>349</v>
      </c>
      <c r="T36" s="94">
        <v>459</v>
      </c>
      <c r="U36" s="94">
        <f>R36+T36</f>
        <v>1116</v>
      </c>
      <c r="V36" s="114" t="s">
        <v>350</v>
      </c>
      <c r="W36" s="175">
        <v>727</v>
      </c>
      <c r="X36" s="175">
        <f>U36+W36</f>
        <v>1843</v>
      </c>
      <c r="Y36" s="175" t="s">
        <v>468</v>
      </c>
      <c r="Z36" s="7" t="s">
        <v>94</v>
      </c>
      <c r="AA36" s="10" t="s">
        <v>164</v>
      </c>
      <c r="AB36" s="35">
        <v>43191</v>
      </c>
      <c r="AE36" s="160"/>
    </row>
    <row r="37" spans="1:122" ht="132" customHeight="1" x14ac:dyDescent="0.25">
      <c r="A37" s="10" t="s">
        <v>72</v>
      </c>
      <c r="B37" s="10" t="s">
        <v>83</v>
      </c>
      <c r="C37" s="18" t="s">
        <v>100</v>
      </c>
      <c r="D37" s="10" t="s">
        <v>5</v>
      </c>
      <c r="E37" s="10" t="s">
        <v>132</v>
      </c>
      <c r="F37" s="19" t="s">
        <v>335</v>
      </c>
      <c r="G37" s="19" t="s">
        <v>181</v>
      </c>
      <c r="H37" s="12">
        <v>500</v>
      </c>
      <c r="I37" s="47" t="s">
        <v>115</v>
      </c>
      <c r="J37" s="107" t="s">
        <v>351</v>
      </c>
      <c r="K37" s="55">
        <v>64</v>
      </c>
      <c r="L37" s="55">
        <f>K37</f>
        <v>64</v>
      </c>
      <c r="M37" s="108" t="s">
        <v>352</v>
      </c>
      <c r="N37" s="66">
        <v>70</v>
      </c>
      <c r="O37" s="62">
        <f>L37+N37</f>
        <v>134</v>
      </c>
      <c r="P37" s="112" t="s">
        <v>353</v>
      </c>
      <c r="Q37" s="41">
        <v>138</v>
      </c>
      <c r="R37" s="41">
        <f>O37+Q37</f>
        <v>272</v>
      </c>
      <c r="S37" s="90" t="s">
        <v>354</v>
      </c>
      <c r="T37" s="94">
        <v>147</v>
      </c>
      <c r="U37" s="94">
        <f>R37+T37</f>
        <v>419</v>
      </c>
      <c r="V37" s="105" t="s">
        <v>355</v>
      </c>
      <c r="W37" s="198">
        <v>82</v>
      </c>
      <c r="X37" s="198">
        <f>U37+W37</f>
        <v>501</v>
      </c>
      <c r="Y37" s="180" t="s">
        <v>505</v>
      </c>
      <c r="Z37" s="5" t="s">
        <v>92</v>
      </c>
      <c r="AA37" s="10" t="s">
        <v>115</v>
      </c>
      <c r="AB37" s="37"/>
    </row>
    <row r="38" spans="1:122" ht="117" customHeight="1" x14ac:dyDescent="0.25">
      <c r="A38" s="10" t="s">
        <v>73</v>
      </c>
      <c r="B38" s="10" t="s">
        <v>65</v>
      </c>
      <c r="C38" s="18" t="s">
        <v>100</v>
      </c>
      <c r="D38" s="10" t="s">
        <v>5</v>
      </c>
      <c r="E38" s="10" t="s">
        <v>98</v>
      </c>
      <c r="F38" s="19" t="s">
        <v>201</v>
      </c>
      <c r="G38" s="19" t="s">
        <v>181</v>
      </c>
      <c r="H38" s="12">
        <v>18200</v>
      </c>
      <c r="I38" s="47">
        <v>985</v>
      </c>
      <c r="J38" s="107" t="s">
        <v>356</v>
      </c>
      <c r="K38" s="55">
        <v>1447</v>
      </c>
      <c r="L38" s="55">
        <f>I38+K38</f>
        <v>2432</v>
      </c>
      <c r="M38" s="108" t="s">
        <v>357</v>
      </c>
      <c r="N38" s="62">
        <v>1750</v>
      </c>
      <c r="O38" s="62">
        <f>L38+N38</f>
        <v>4182</v>
      </c>
      <c r="P38" s="162" t="s">
        <v>358</v>
      </c>
      <c r="Q38" s="41">
        <v>1983</v>
      </c>
      <c r="R38" s="41">
        <f>O38+Q38</f>
        <v>6165</v>
      </c>
      <c r="S38" s="163" t="s">
        <v>359</v>
      </c>
      <c r="T38" s="94">
        <v>2454</v>
      </c>
      <c r="U38" s="94">
        <f>R38+T38</f>
        <v>8619</v>
      </c>
      <c r="V38" s="164" t="s">
        <v>360</v>
      </c>
      <c r="W38" s="198">
        <v>2857</v>
      </c>
      <c r="X38" s="198">
        <f>U38+W38</f>
        <v>11476</v>
      </c>
      <c r="Y38" s="187" t="s">
        <v>464</v>
      </c>
      <c r="Z38" s="27" t="s">
        <v>95</v>
      </c>
      <c r="AA38" s="10" t="s">
        <v>115</v>
      </c>
      <c r="AB38" s="35">
        <v>43132</v>
      </c>
    </row>
    <row r="39" spans="1:122" ht="156" customHeight="1" x14ac:dyDescent="0.25">
      <c r="A39" s="10" t="s">
        <v>74</v>
      </c>
      <c r="B39" s="10" t="s">
        <v>59</v>
      </c>
      <c r="C39" s="18" t="s">
        <v>104</v>
      </c>
      <c r="D39" s="10" t="s">
        <v>17</v>
      </c>
      <c r="E39" s="10" t="s">
        <v>135</v>
      </c>
      <c r="F39" s="6" t="s">
        <v>149</v>
      </c>
      <c r="G39" s="6" t="s">
        <v>181</v>
      </c>
      <c r="H39" s="6">
        <v>100</v>
      </c>
      <c r="I39" s="117">
        <f>(774+645)/(774+645)</f>
        <v>1</v>
      </c>
      <c r="J39" s="46" t="s">
        <v>231</v>
      </c>
      <c r="K39" s="118">
        <f>(82+232)/(82+232)</f>
        <v>1</v>
      </c>
      <c r="L39" s="118">
        <f>(856+877)/(856+877)</f>
        <v>1</v>
      </c>
      <c r="M39" s="54" t="s">
        <v>232</v>
      </c>
      <c r="N39" s="67">
        <f>(150+297)/(150+297)</f>
        <v>1</v>
      </c>
      <c r="O39" s="67">
        <f>((1006+1174)/(1006+1174))</f>
        <v>1</v>
      </c>
      <c r="P39" s="119" t="s">
        <v>234</v>
      </c>
      <c r="Q39" s="79">
        <f>(84+223)/(84+223)</f>
        <v>1</v>
      </c>
      <c r="R39" s="79">
        <f>(1090+1397)/(1090+1397)</f>
        <v>1</v>
      </c>
      <c r="S39" s="120" t="s">
        <v>233</v>
      </c>
      <c r="T39" s="92">
        <f>(57+155)/(57+155)</f>
        <v>1</v>
      </c>
      <c r="U39" s="92">
        <f>(1147+1552)/(1147+1552)</f>
        <v>1</v>
      </c>
      <c r="V39" s="121" t="s">
        <v>240</v>
      </c>
      <c r="W39" s="181">
        <f>(81+201)/(81+201)</f>
        <v>1</v>
      </c>
      <c r="X39" s="181">
        <f>(1228+1907)/(1228+1907)</f>
        <v>1</v>
      </c>
      <c r="Y39" s="182" t="s">
        <v>434</v>
      </c>
      <c r="Z39" s="5" t="s">
        <v>95</v>
      </c>
      <c r="AA39" s="14" t="s">
        <v>115</v>
      </c>
      <c r="AB39" s="35">
        <v>43101</v>
      </c>
    </row>
    <row r="40" spans="1:122" ht="150" x14ac:dyDescent="0.25">
      <c r="A40" s="10" t="s">
        <v>74</v>
      </c>
      <c r="B40" s="10" t="s">
        <v>60</v>
      </c>
      <c r="C40" s="18" t="s">
        <v>104</v>
      </c>
      <c r="D40" s="10" t="s">
        <v>17</v>
      </c>
      <c r="E40" s="10" t="s">
        <v>135</v>
      </c>
      <c r="F40" s="32" t="s">
        <v>201</v>
      </c>
      <c r="G40" s="32" t="s">
        <v>208</v>
      </c>
      <c r="H40" s="8">
        <v>4</v>
      </c>
      <c r="I40" s="51" t="s">
        <v>115</v>
      </c>
      <c r="J40" s="46" t="s">
        <v>235</v>
      </c>
      <c r="K40" s="59">
        <v>1</v>
      </c>
      <c r="L40" s="59">
        <v>1</v>
      </c>
      <c r="M40" s="54" t="s">
        <v>236</v>
      </c>
      <c r="N40" s="66" t="s">
        <v>115</v>
      </c>
      <c r="O40" s="132">
        <f>L40</f>
        <v>1</v>
      </c>
      <c r="P40" s="71" t="s">
        <v>237</v>
      </c>
      <c r="Q40" s="79" t="s">
        <v>115</v>
      </c>
      <c r="R40" s="133">
        <v>1</v>
      </c>
      <c r="S40" s="120" t="s">
        <v>238</v>
      </c>
      <c r="T40" s="92" t="s">
        <v>115</v>
      </c>
      <c r="U40" s="134">
        <f>R40</f>
        <v>1</v>
      </c>
      <c r="V40" s="121" t="s">
        <v>239</v>
      </c>
      <c r="W40" s="182">
        <v>1</v>
      </c>
      <c r="X40" s="195">
        <f>W40+L40</f>
        <v>2</v>
      </c>
      <c r="Y40" s="182" t="s">
        <v>435</v>
      </c>
      <c r="Z40" s="5" t="s">
        <v>95</v>
      </c>
      <c r="AA40" s="14" t="s">
        <v>115</v>
      </c>
      <c r="AB40" s="35">
        <v>43146</v>
      </c>
    </row>
    <row r="41" spans="1:122" s="1" customFormat="1" ht="175.5" customHeight="1" x14ac:dyDescent="0.25">
      <c r="A41" s="10" t="s">
        <v>74</v>
      </c>
      <c r="B41" s="10" t="s">
        <v>41</v>
      </c>
      <c r="C41" s="18" t="s">
        <v>104</v>
      </c>
      <c r="D41" s="10" t="s">
        <v>17</v>
      </c>
      <c r="E41" s="10" t="s">
        <v>135</v>
      </c>
      <c r="F41" s="6" t="s">
        <v>149</v>
      </c>
      <c r="G41" s="6" t="s">
        <v>181</v>
      </c>
      <c r="H41" s="6">
        <v>90</v>
      </c>
      <c r="I41" s="124">
        <f>1986074129/2959184178.11</f>
        <v>0.67115597051768661</v>
      </c>
      <c r="J41" s="46" t="s">
        <v>241</v>
      </c>
      <c r="K41" s="123">
        <f>118165061453.16/124194898450.22</f>
        <v>0.95144859352272926</v>
      </c>
      <c r="L41" s="123">
        <f>120151135582.16/127154083228.33</f>
        <v>0.9449254992968269</v>
      </c>
      <c r="M41" s="54" t="s">
        <v>276</v>
      </c>
      <c r="N41" s="69">
        <f>322969082782.41/335230354111.33</f>
        <v>0.96342434037208913</v>
      </c>
      <c r="O41" s="70">
        <f>443120218364.57/462384437339.66</f>
        <v>0.95833722457025783</v>
      </c>
      <c r="P41" s="71" t="s">
        <v>277</v>
      </c>
      <c r="Q41" s="82">
        <f>169034168238.84/177818929607.76</f>
        <v>0.9505971530235966</v>
      </c>
      <c r="R41" s="82">
        <f>612154386603.41/640203366947.42</f>
        <v>0.95618739014486676</v>
      </c>
      <c r="S41" s="83" t="s">
        <v>278</v>
      </c>
      <c r="T41" s="97">
        <f>168903990597.74/179351974248.92</f>
        <v>0.94174592337255558</v>
      </c>
      <c r="U41" s="97">
        <f>781058377201.15/819555341196.34</f>
        <v>0.95302701103870024</v>
      </c>
      <c r="V41" s="99" t="s">
        <v>279</v>
      </c>
      <c r="W41" s="180">
        <f>168456658135.8/179692368431.18</f>
        <v>0.93747252377229839</v>
      </c>
      <c r="X41" s="180">
        <f>949515035337/999147709628</f>
        <v>0.95032498817469235</v>
      </c>
      <c r="Y41" s="177" t="s">
        <v>436</v>
      </c>
      <c r="Z41" s="5" t="s">
        <v>95</v>
      </c>
      <c r="AA41" s="14" t="s">
        <v>115</v>
      </c>
      <c r="AB41" s="35">
        <v>43101</v>
      </c>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row>
    <row r="42" spans="1:122" s="1" customFormat="1" ht="105" x14ac:dyDescent="0.25">
      <c r="A42" s="10" t="s">
        <v>74</v>
      </c>
      <c r="B42" s="10" t="s">
        <v>86</v>
      </c>
      <c r="C42" s="18" t="s">
        <v>104</v>
      </c>
      <c r="D42" s="10" t="s">
        <v>17</v>
      </c>
      <c r="E42" s="10" t="s">
        <v>135</v>
      </c>
      <c r="F42" s="32" t="s">
        <v>201</v>
      </c>
      <c r="G42" s="32" t="s">
        <v>181</v>
      </c>
      <c r="H42" s="6">
        <v>8</v>
      </c>
      <c r="I42" s="139">
        <f>2583/587</f>
        <v>4.4003407155025558</v>
      </c>
      <c r="J42" s="46" t="s">
        <v>242</v>
      </c>
      <c r="K42" s="140">
        <f>718/361</f>
        <v>1.9889196675900278</v>
      </c>
      <c r="L42" s="140">
        <f>3301/948</f>
        <v>3.4820675105485233</v>
      </c>
      <c r="M42" s="54" t="s">
        <v>243</v>
      </c>
      <c r="N42" s="141">
        <f>2064/604</f>
        <v>3.4172185430463577</v>
      </c>
      <c r="O42" s="141">
        <f>5365/1552</f>
        <v>3.4568298969072164</v>
      </c>
      <c r="P42" s="71" t="s">
        <v>244</v>
      </c>
      <c r="Q42" s="142">
        <f>2180/604</f>
        <v>3.6092715231788079</v>
      </c>
      <c r="R42" s="142">
        <f>7545/2156</f>
        <v>3.4995361781076069</v>
      </c>
      <c r="S42" s="120" t="s">
        <v>245</v>
      </c>
      <c r="T42" s="143">
        <f>2522/603</f>
        <v>4.1824212271973469</v>
      </c>
      <c r="U42" s="143">
        <f>10067/2759</f>
        <v>3.6487857919536064</v>
      </c>
      <c r="V42" s="121" t="s">
        <v>246</v>
      </c>
      <c r="W42" s="192">
        <f>2026/584</f>
        <v>3.4691780821917808</v>
      </c>
      <c r="X42" s="192">
        <f>12093/3343</f>
        <v>3.6174095124139996</v>
      </c>
      <c r="Y42" s="182" t="s">
        <v>437</v>
      </c>
      <c r="Z42" s="5" t="s">
        <v>92</v>
      </c>
      <c r="AA42" s="14" t="s">
        <v>115</v>
      </c>
      <c r="AB42" s="16"/>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row>
    <row r="43" spans="1:122" ht="121.5" customHeight="1" x14ac:dyDescent="0.25">
      <c r="A43" s="21" t="s">
        <v>106</v>
      </c>
      <c r="B43" s="21" t="s">
        <v>16</v>
      </c>
      <c r="C43" s="18" t="s">
        <v>105</v>
      </c>
      <c r="D43" s="10" t="s">
        <v>17</v>
      </c>
      <c r="E43" s="10" t="s">
        <v>136</v>
      </c>
      <c r="F43" s="23" t="s">
        <v>149</v>
      </c>
      <c r="G43" s="23" t="s">
        <v>208</v>
      </c>
      <c r="H43" s="23">
        <v>80</v>
      </c>
      <c r="I43" s="49" t="s">
        <v>115</v>
      </c>
      <c r="J43" s="168" t="s">
        <v>398</v>
      </c>
      <c r="K43" s="57" t="s">
        <v>115</v>
      </c>
      <c r="L43" s="57" t="s">
        <v>115</v>
      </c>
      <c r="M43" s="169" t="s">
        <v>398</v>
      </c>
      <c r="N43" s="75" t="s">
        <v>115</v>
      </c>
      <c r="O43" s="75" t="s">
        <v>115</v>
      </c>
      <c r="P43" s="77" t="s">
        <v>398</v>
      </c>
      <c r="Q43" s="86" t="s">
        <v>115</v>
      </c>
      <c r="R43" s="86" t="s">
        <v>115</v>
      </c>
      <c r="S43" s="89" t="s">
        <v>398</v>
      </c>
      <c r="T43" s="148" t="s">
        <v>115</v>
      </c>
      <c r="U43" s="148" t="s">
        <v>115</v>
      </c>
      <c r="V43" s="104" t="s">
        <v>398</v>
      </c>
      <c r="W43" s="188" t="s">
        <v>115</v>
      </c>
      <c r="X43" s="188" t="s">
        <v>115</v>
      </c>
      <c r="Y43" s="188" t="s">
        <v>512</v>
      </c>
      <c r="Z43" s="24" t="s">
        <v>95</v>
      </c>
      <c r="AA43" s="21" t="s">
        <v>165</v>
      </c>
      <c r="AB43" s="35">
        <v>43282</v>
      </c>
    </row>
    <row r="44" spans="1:122" ht="105" customHeight="1" x14ac:dyDescent="0.25">
      <c r="A44" s="10" t="s">
        <v>106</v>
      </c>
      <c r="B44" s="10" t="s">
        <v>119</v>
      </c>
      <c r="C44" s="18" t="s">
        <v>105</v>
      </c>
      <c r="D44" s="10" t="s">
        <v>17</v>
      </c>
      <c r="E44" s="10" t="s">
        <v>136</v>
      </c>
      <c r="F44" s="6" t="s">
        <v>120</v>
      </c>
      <c r="G44" s="6" t="s">
        <v>208</v>
      </c>
      <c r="H44" s="6">
        <v>730</v>
      </c>
      <c r="I44" s="48" t="s">
        <v>115</v>
      </c>
      <c r="J44" s="168" t="s">
        <v>399</v>
      </c>
      <c r="K44" s="56" t="s">
        <v>115</v>
      </c>
      <c r="L44" s="56" t="s">
        <v>115</v>
      </c>
      <c r="M44" s="169" t="s">
        <v>399</v>
      </c>
      <c r="N44" s="66" t="s">
        <v>115</v>
      </c>
      <c r="O44" s="66" t="s">
        <v>115</v>
      </c>
      <c r="P44" s="77" t="s">
        <v>399</v>
      </c>
      <c r="Q44" s="81" t="s">
        <v>115</v>
      </c>
      <c r="R44" s="81" t="s">
        <v>115</v>
      </c>
      <c r="S44" s="89" t="s">
        <v>399</v>
      </c>
      <c r="T44" s="95" t="s">
        <v>115</v>
      </c>
      <c r="U44" s="95" t="s">
        <v>115</v>
      </c>
      <c r="V44" s="104" t="s">
        <v>399</v>
      </c>
      <c r="W44" s="188" t="s">
        <v>115</v>
      </c>
      <c r="X44" s="188" t="s">
        <v>115</v>
      </c>
      <c r="Y44" s="188" t="s">
        <v>513</v>
      </c>
      <c r="Z44" s="5" t="s">
        <v>95</v>
      </c>
      <c r="AA44" s="10" t="s">
        <v>163</v>
      </c>
      <c r="AB44" s="35">
        <v>43252</v>
      </c>
    </row>
    <row r="45" spans="1:122" s="1" customFormat="1" ht="176.25" customHeight="1" x14ac:dyDescent="0.25">
      <c r="A45" s="10" t="s">
        <v>106</v>
      </c>
      <c r="B45" s="10" t="s">
        <v>18</v>
      </c>
      <c r="C45" s="18" t="s">
        <v>19</v>
      </c>
      <c r="D45" s="10" t="s">
        <v>17</v>
      </c>
      <c r="E45" s="10" t="s">
        <v>136</v>
      </c>
      <c r="F45" s="6" t="s">
        <v>149</v>
      </c>
      <c r="G45" s="6" t="s">
        <v>181</v>
      </c>
      <c r="H45" s="6">
        <v>100</v>
      </c>
      <c r="I45" s="48" t="s">
        <v>115</v>
      </c>
      <c r="J45" s="48" t="s">
        <v>115</v>
      </c>
      <c r="K45" s="118">
        <f>224/224</f>
        <v>1</v>
      </c>
      <c r="L45" s="118">
        <f>224/224</f>
        <v>1</v>
      </c>
      <c r="M45" s="169" t="s">
        <v>415</v>
      </c>
      <c r="N45" s="67">
        <f>157/157</f>
        <v>1</v>
      </c>
      <c r="O45" s="68">
        <f>(224+157)/(224+157)</f>
        <v>1</v>
      </c>
      <c r="P45" s="77" t="s">
        <v>416</v>
      </c>
      <c r="Q45" s="80">
        <f>172/172</f>
        <v>1</v>
      </c>
      <c r="R45" s="80">
        <f>(224+157+172)/(224+157+172)</f>
        <v>1</v>
      </c>
      <c r="S45" s="83" t="s">
        <v>417</v>
      </c>
      <c r="T45" s="93">
        <f>294/294</f>
        <v>1</v>
      </c>
      <c r="U45" s="93">
        <f>(224+157+172+294)/(224+157+172+294)</f>
        <v>1</v>
      </c>
      <c r="V45" s="99" t="s">
        <v>418</v>
      </c>
      <c r="W45" s="180">
        <f>175/184</f>
        <v>0.95108695652173914</v>
      </c>
      <c r="X45" s="180">
        <f>1022/1031</f>
        <v>0.99127061105722603</v>
      </c>
      <c r="Y45" s="177" t="s">
        <v>514</v>
      </c>
      <c r="Z45" s="5" t="s">
        <v>95</v>
      </c>
      <c r="AA45" s="10" t="s">
        <v>115</v>
      </c>
      <c r="AB45" s="35">
        <v>43132</v>
      </c>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row>
    <row r="46" spans="1:122" ht="165" x14ac:dyDescent="0.25">
      <c r="A46" s="28" t="s">
        <v>106</v>
      </c>
      <c r="B46" s="28" t="s">
        <v>84</v>
      </c>
      <c r="C46" s="29" t="s">
        <v>99</v>
      </c>
      <c r="D46" s="28" t="s">
        <v>5</v>
      </c>
      <c r="E46" s="28" t="s">
        <v>129</v>
      </c>
      <c r="F46" s="30" t="s">
        <v>149</v>
      </c>
      <c r="G46" s="30" t="s">
        <v>181</v>
      </c>
      <c r="H46" s="30">
        <v>100</v>
      </c>
      <c r="I46" s="124">
        <f>2576/3190</f>
        <v>0.80752351097178687</v>
      </c>
      <c r="J46" s="171" t="s">
        <v>400</v>
      </c>
      <c r="K46" s="123">
        <f>3503/4335</f>
        <v>0.80807381776239906</v>
      </c>
      <c r="L46" s="123">
        <f>(2576+3503)/(3190+4335)</f>
        <v>0.80784053156146174</v>
      </c>
      <c r="M46" s="170" t="s">
        <v>401</v>
      </c>
      <c r="N46" s="70">
        <f>2883/3470</f>
        <v>0.83083573487031703</v>
      </c>
      <c r="O46" s="70">
        <f>(2576+3503+2883)/(3190+4335+3470)</f>
        <v>0.81509777171441566</v>
      </c>
      <c r="P46" s="78" t="s">
        <v>402</v>
      </c>
      <c r="Q46" s="82">
        <f>4019/4256</f>
        <v>0.94431390977443608</v>
      </c>
      <c r="R46" s="82">
        <f>(2576+3503+2883+4019)/(3190+4335+3470+4256)</f>
        <v>0.85115730116057964</v>
      </c>
      <c r="S46" s="90" t="s">
        <v>403</v>
      </c>
      <c r="T46" s="97">
        <f>3860/4091</f>
        <v>0.94353458812026403</v>
      </c>
      <c r="U46" s="97">
        <f>(2576+3503+2883+4019+3860)/(3190+4335+3470+4256+4091)</f>
        <v>0.87069589494364596</v>
      </c>
      <c r="V46" s="105" t="s">
        <v>404</v>
      </c>
      <c r="W46" s="180">
        <f>3594/3822</f>
        <v>0.94034536891679754</v>
      </c>
      <c r="X46" s="180">
        <f>20435/23164</f>
        <v>0.88218787774132279</v>
      </c>
      <c r="Y46" s="180" t="s">
        <v>515</v>
      </c>
      <c r="Z46" s="31" t="s">
        <v>92</v>
      </c>
      <c r="AA46" s="10" t="s">
        <v>115</v>
      </c>
      <c r="AB46" s="16"/>
    </row>
    <row r="47" spans="1:122" ht="186" customHeight="1" x14ac:dyDescent="0.25">
      <c r="A47" s="28" t="s">
        <v>106</v>
      </c>
      <c r="B47" s="28" t="s">
        <v>121</v>
      </c>
      <c r="C47" s="29" t="s">
        <v>99</v>
      </c>
      <c r="D47" s="28" t="s">
        <v>5</v>
      </c>
      <c r="E47" s="28" t="s">
        <v>129</v>
      </c>
      <c r="F47" s="30" t="s">
        <v>149</v>
      </c>
      <c r="G47" s="30" t="s">
        <v>181</v>
      </c>
      <c r="H47" s="30">
        <v>70</v>
      </c>
      <c r="I47" s="124">
        <f>16/34</f>
        <v>0.47058823529411764</v>
      </c>
      <c r="J47" s="171" t="s">
        <v>405</v>
      </c>
      <c r="K47" s="123">
        <f>15/42</f>
        <v>0.35714285714285715</v>
      </c>
      <c r="L47" s="123">
        <f>(16+15)/(34+42)</f>
        <v>0.40789473684210525</v>
      </c>
      <c r="M47" s="170" t="s">
        <v>406</v>
      </c>
      <c r="N47" s="70">
        <f>20/28</f>
        <v>0.7142857142857143</v>
      </c>
      <c r="O47" s="70">
        <f>(16+15+20)/(34+42+28)</f>
        <v>0.49038461538461536</v>
      </c>
      <c r="P47" s="78" t="s">
        <v>407</v>
      </c>
      <c r="Q47" s="82">
        <f>45/53</f>
        <v>0.84905660377358494</v>
      </c>
      <c r="R47" s="82">
        <f>(16+15+20+45)/(34+42+28+53)</f>
        <v>0.61146496815286622</v>
      </c>
      <c r="S47" s="90" t="s">
        <v>408</v>
      </c>
      <c r="T47" s="97">
        <f>8/11</f>
        <v>0.72727272727272729</v>
      </c>
      <c r="U47" s="97">
        <f>(16+15+20+45+8)/(34+42+28+53+11)</f>
        <v>0.61904761904761907</v>
      </c>
      <c r="V47" s="105" t="s">
        <v>409</v>
      </c>
      <c r="W47" s="180">
        <f>10/14</f>
        <v>0.7142857142857143</v>
      </c>
      <c r="X47" s="180">
        <f>114/182</f>
        <v>0.62637362637362637</v>
      </c>
      <c r="Y47" s="180" t="s">
        <v>516</v>
      </c>
      <c r="Z47" s="31" t="s">
        <v>92</v>
      </c>
      <c r="AA47" s="10" t="s">
        <v>115</v>
      </c>
      <c r="AB47" s="16"/>
    </row>
    <row r="48" spans="1:122" ht="183" customHeight="1" x14ac:dyDescent="0.25">
      <c r="A48" s="28" t="s">
        <v>106</v>
      </c>
      <c r="B48" s="28" t="s">
        <v>90</v>
      </c>
      <c r="C48" s="29" t="s">
        <v>99</v>
      </c>
      <c r="D48" s="28" t="s">
        <v>5</v>
      </c>
      <c r="E48" s="28" t="s">
        <v>129</v>
      </c>
      <c r="F48" s="30" t="s">
        <v>118</v>
      </c>
      <c r="G48" s="30" t="s">
        <v>181</v>
      </c>
      <c r="H48" s="30">
        <v>8</v>
      </c>
      <c r="I48" s="172">
        <f>10041/2763</f>
        <v>3.6340933767643864</v>
      </c>
      <c r="J48" s="171" t="s">
        <v>410</v>
      </c>
      <c r="K48" s="173">
        <f>7029/3661</f>
        <v>1.9199672220704727</v>
      </c>
      <c r="L48" s="173">
        <f>(10041+7029)/(2763+3661)</f>
        <v>2.657222914072229</v>
      </c>
      <c r="M48" s="170" t="s">
        <v>411</v>
      </c>
      <c r="N48" s="141">
        <f>8442/2850</f>
        <v>2.9621052631578948</v>
      </c>
      <c r="O48" s="141">
        <f>(10041+7029+8442)/(2763+3661+2850)</f>
        <v>2.7509165408669398</v>
      </c>
      <c r="P48" s="71" t="s">
        <v>413</v>
      </c>
      <c r="Q48" s="142">
        <f>4593/4229</f>
        <v>1.0860723575313314</v>
      </c>
      <c r="R48" s="142">
        <f>(10041+7029+8442+4593)/(2763+3661+2850+4229)</f>
        <v>2.2295045545434347</v>
      </c>
      <c r="S48" s="87" t="s">
        <v>412</v>
      </c>
      <c r="T48" s="149">
        <f>6675/4243</f>
        <v>1.5731793542304973</v>
      </c>
      <c r="U48" s="149">
        <f>(10041+7029+8442+4593+6675)/(2763+3661+2850+4229+4243)</f>
        <v>2.0725797362785978</v>
      </c>
      <c r="V48" s="102" t="s">
        <v>414</v>
      </c>
      <c r="W48" s="214">
        <f>7068/4023</f>
        <v>1.7568978374347501</v>
      </c>
      <c r="X48" s="214">
        <f>43848/21769</f>
        <v>2.014240433644173</v>
      </c>
      <c r="Y48" s="181" t="s">
        <v>517</v>
      </c>
      <c r="Z48" s="31" t="s">
        <v>92</v>
      </c>
      <c r="AA48" s="10" t="s">
        <v>115</v>
      </c>
      <c r="AB48" s="16"/>
    </row>
    <row r="49" spans="1:195" ht="129" customHeight="1" x14ac:dyDescent="0.25">
      <c r="A49" s="10" t="s">
        <v>20</v>
      </c>
      <c r="B49" s="10" t="s">
        <v>21</v>
      </c>
      <c r="C49" s="18" t="s">
        <v>102</v>
      </c>
      <c r="D49" s="10" t="s">
        <v>2</v>
      </c>
      <c r="E49" s="10" t="s">
        <v>137</v>
      </c>
      <c r="F49" s="11" t="s">
        <v>150</v>
      </c>
      <c r="G49" s="11" t="s">
        <v>181</v>
      </c>
      <c r="H49" s="6">
        <v>600</v>
      </c>
      <c r="I49" s="48">
        <v>67</v>
      </c>
      <c r="J49" s="46" t="s">
        <v>280</v>
      </c>
      <c r="K49" s="56">
        <v>72</v>
      </c>
      <c r="L49" s="56">
        <f>I49+K49</f>
        <v>139</v>
      </c>
      <c r="M49" s="54" t="s">
        <v>281</v>
      </c>
      <c r="N49" s="66">
        <v>74</v>
      </c>
      <c r="O49" s="66">
        <f>L49+N49</f>
        <v>213</v>
      </c>
      <c r="P49" s="119" t="s">
        <v>282</v>
      </c>
      <c r="Q49" s="81">
        <v>67</v>
      </c>
      <c r="R49" s="81">
        <f>O49+Q49</f>
        <v>280</v>
      </c>
      <c r="S49" s="120" t="s">
        <v>283</v>
      </c>
      <c r="T49" s="95">
        <v>91</v>
      </c>
      <c r="U49" s="95">
        <f>R49+T49</f>
        <v>371</v>
      </c>
      <c r="V49" s="121" t="s">
        <v>284</v>
      </c>
      <c r="W49" s="182">
        <v>71</v>
      </c>
      <c r="X49" s="182">
        <f>U49+W49</f>
        <v>442</v>
      </c>
      <c r="Y49" s="182" t="s">
        <v>452</v>
      </c>
      <c r="Z49" s="5" t="s">
        <v>95</v>
      </c>
      <c r="AA49" s="10" t="s">
        <v>115</v>
      </c>
      <c r="AB49" s="35">
        <v>43101</v>
      </c>
    </row>
    <row r="50" spans="1:195" ht="145.5" customHeight="1" x14ac:dyDescent="0.25">
      <c r="A50" s="10" t="s">
        <v>20</v>
      </c>
      <c r="B50" s="10" t="s">
        <v>22</v>
      </c>
      <c r="C50" s="18" t="s">
        <v>102</v>
      </c>
      <c r="D50" s="10" t="s">
        <v>2</v>
      </c>
      <c r="E50" s="10" t="s">
        <v>137</v>
      </c>
      <c r="F50" s="11" t="s">
        <v>151</v>
      </c>
      <c r="G50" s="11" t="s">
        <v>181</v>
      </c>
      <c r="H50" s="12">
        <v>2000</v>
      </c>
      <c r="I50" s="47">
        <v>157</v>
      </c>
      <c r="J50" s="46" t="s">
        <v>285</v>
      </c>
      <c r="K50" s="55">
        <v>261</v>
      </c>
      <c r="L50" s="55">
        <f>I50+K50</f>
        <v>418</v>
      </c>
      <c r="M50" s="54" t="s">
        <v>286</v>
      </c>
      <c r="N50" s="66">
        <v>219</v>
      </c>
      <c r="O50" s="62">
        <f>L50+N50</f>
        <v>637</v>
      </c>
      <c r="P50" s="119" t="s">
        <v>287</v>
      </c>
      <c r="Q50" s="81">
        <v>191</v>
      </c>
      <c r="R50" s="41">
        <f>O50+Q50</f>
        <v>828</v>
      </c>
      <c r="S50" s="120" t="s">
        <v>288</v>
      </c>
      <c r="T50" s="95">
        <v>209</v>
      </c>
      <c r="U50" s="94">
        <f>R50+T50</f>
        <v>1037</v>
      </c>
      <c r="V50" s="121" t="s">
        <v>289</v>
      </c>
      <c r="W50" s="182">
        <v>175</v>
      </c>
      <c r="X50" s="175">
        <f>U50+W50</f>
        <v>1212</v>
      </c>
      <c r="Y50" s="182" t="s">
        <v>453</v>
      </c>
      <c r="Z50" s="5" t="s">
        <v>95</v>
      </c>
      <c r="AA50" s="10" t="s">
        <v>115</v>
      </c>
      <c r="AB50" s="35">
        <v>43101</v>
      </c>
    </row>
    <row r="51" spans="1:195" ht="150" x14ac:dyDescent="0.25">
      <c r="A51" s="10" t="s">
        <v>20</v>
      </c>
      <c r="B51" s="21" t="s">
        <v>91</v>
      </c>
      <c r="C51" s="18" t="s">
        <v>102</v>
      </c>
      <c r="D51" s="10" t="s">
        <v>2</v>
      </c>
      <c r="E51" s="10" t="s">
        <v>137</v>
      </c>
      <c r="F51" s="12" t="s">
        <v>149</v>
      </c>
      <c r="G51" s="12" t="s">
        <v>181</v>
      </c>
      <c r="H51" s="12">
        <v>80</v>
      </c>
      <c r="I51" s="124">
        <f>319/333</f>
        <v>0.95795795795795791</v>
      </c>
      <c r="J51" s="107" t="s">
        <v>290</v>
      </c>
      <c r="K51" s="123">
        <f>388/404</f>
        <v>0.96039603960396036</v>
      </c>
      <c r="L51" s="123">
        <f>707/737</f>
        <v>0.95929443690637717</v>
      </c>
      <c r="M51" s="108" t="s">
        <v>291</v>
      </c>
      <c r="N51" s="70">
        <f>230/242</f>
        <v>0.95041322314049592</v>
      </c>
      <c r="O51" s="70">
        <f>937/979</f>
        <v>0.95709908069458627</v>
      </c>
      <c r="P51" s="78" t="s">
        <v>292</v>
      </c>
      <c r="Q51" s="82">
        <f>273/290</f>
        <v>0.94137931034482758</v>
      </c>
      <c r="R51" s="82">
        <f>1210/1269</f>
        <v>0.9535066981875493</v>
      </c>
      <c r="S51" s="90" t="s">
        <v>293</v>
      </c>
      <c r="T51" s="97">
        <f>199/218</f>
        <v>0.91284403669724767</v>
      </c>
      <c r="U51" s="97">
        <f>1409/1487</f>
        <v>0.94754539340954946</v>
      </c>
      <c r="V51" s="121" t="s">
        <v>294</v>
      </c>
      <c r="W51" s="185">
        <f>302/330</f>
        <v>0.91515151515151516</v>
      </c>
      <c r="X51" s="185">
        <f>1711/1817</f>
        <v>0.94166208035222898</v>
      </c>
      <c r="Y51" s="182" t="s">
        <v>454</v>
      </c>
      <c r="Z51" s="5" t="s">
        <v>92</v>
      </c>
      <c r="AA51" s="10" t="s">
        <v>115</v>
      </c>
      <c r="AB51" s="16"/>
    </row>
    <row r="52" spans="1:195" ht="255" x14ac:dyDescent="0.25">
      <c r="A52" s="10" t="s">
        <v>107</v>
      </c>
      <c r="B52" s="10" t="s">
        <v>24</v>
      </c>
      <c r="C52" s="18" t="s">
        <v>99</v>
      </c>
      <c r="D52" s="10" t="s">
        <v>17</v>
      </c>
      <c r="E52" s="10" t="s">
        <v>138</v>
      </c>
      <c r="F52" s="6" t="s">
        <v>149</v>
      </c>
      <c r="G52" s="6" t="s">
        <v>181</v>
      </c>
      <c r="H52" s="6">
        <v>100</v>
      </c>
      <c r="I52" s="117">
        <f>8/8</f>
        <v>1</v>
      </c>
      <c r="J52" s="130" t="s">
        <v>225</v>
      </c>
      <c r="K52" s="118">
        <f>19/19</f>
        <v>1</v>
      </c>
      <c r="L52" s="118">
        <f>27/27</f>
        <v>1</v>
      </c>
      <c r="M52" s="131" t="s">
        <v>226</v>
      </c>
      <c r="N52" s="67">
        <f>5/5</f>
        <v>1</v>
      </c>
      <c r="O52" s="67">
        <f>32/32</f>
        <v>1</v>
      </c>
      <c r="P52" s="71" t="s">
        <v>227</v>
      </c>
      <c r="Q52" s="79">
        <f>7/7</f>
        <v>1</v>
      </c>
      <c r="R52" s="79">
        <f>39/39</f>
        <v>1</v>
      </c>
      <c r="S52" s="87" t="s">
        <v>228</v>
      </c>
      <c r="T52" s="92">
        <f>6/6</f>
        <v>1</v>
      </c>
      <c r="U52" s="92">
        <f>45/45</f>
        <v>1</v>
      </c>
      <c r="V52" s="102" t="s">
        <v>229</v>
      </c>
      <c r="W52" s="181">
        <f>9/9</f>
        <v>1</v>
      </c>
      <c r="X52" s="181">
        <f>54/54</f>
        <v>1</v>
      </c>
      <c r="Y52" s="181" t="s">
        <v>441</v>
      </c>
      <c r="Z52" s="5" t="s">
        <v>95</v>
      </c>
      <c r="AA52" s="10" t="s">
        <v>115</v>
      </c>
      <c r="AB52" s="35">
        <v>43101</v>
      </c>
    </row>
    <row r="53" spans="1:195" ht="409.5" x14ac:dyDescent="0.25">
      <c r="A53" s="10" t="s">
        <v>107</v>
      </c>
      <c r="B53" s="10" t="s">
        <v>25</v>
      </c>
      <c r="C53" s="18" t="s">
        <v>99</v>
      </c>
      <c r="D53" s="10" t="s">
        <v>17</v>
      </c>
      <c r="E53" s="10" t="s">
        <v>138</v>
      </c>
      <c r="F53" s="11" t="s">
        <v>201</v>
      </c>
      <c r="G53" s="11" t="s">
        <v>208</v>
      </c>
      <c r="H53" s="6">
        <v>4</v>
      </c>
      <c r="I53" s="48" t="s">
        <v>115</v>
      </c>
      <c r="J53" s="48" t="s">
        <v>115</v>
      </c>
      <c r="K53" s="56" t="s">
        <v>115</v>
      </c>
      <c r="L53" s="56" t="s">
        <v>115</v>
      </c>
      <c r="M53" s="56" t="s">
        <v>115</v>
      </c>
      <c r="N53" s="66">
        <v>1</v>
      </c>
      <c r="O53" s="66">
        <v>1</v>
      </c>
      <c r="P53" s="71" t="s">
        <v>230</v>
      </c>
      <c r="Q53" s="79" t="s">
        <v>115</v>
      </c>
      <c r="R53" s="81">
        <v>1</v>
      </c>
      <c r="S53" s="79" t="s">
        <v>115</v>
      </c>
      <c r="T53" s="92" t="s">
        <v>115</v>
      </c>
      <c r="U53" s="95">
        <v>1</v>
      </c>
      <c r="V53" s="92" t="s">
        <v>115</v>
      </c>
      <c r="W53" s="196">
        <v>1</v>
      </c>
      <c r="X53" s="196">
        <f>O53+W53</f>
        <v>2</v>
      </c>
      <c r="Y53" s="181" t="s">
        <v>440</v>
      </c>
      <c r="Z53" s="5" t="s">
        <v>95</v>
      </c>
      <c r="AA53" s="10" t="s">
        <v>115</v>
      </c>
      <c r="AB53" s="35">
        <v>43160</v>
      </c>
    </row>
    <row r="54" spans="1:195" ht="210" x14ac:dyDescent="0.25">
      <c r="A54" s="10" t="s">
        <v>75</v>
      </c>
      <c r="B54" s="10" t="s">
        <v>122</v>
      </c>
      <c r="C54" s="18" t="s">
        <v>99</v>
      </c>
      <c r="D54" s="10" t="s">
        <v>17</v>
      </c>
      <c r="E54" s="10" t="s">
        <v>139</v>
      </c>
      <c r="F54" s="6" t="s">
        <v>149</v>
      </c>
      <c r="G54" s="6" t="s">
        <v>181</v>
      </c>
      <c r="H54" s="6">
        <v>100</v>
      </c>
      <c r="I54" s="117">
        <f>480/480</f>
        <v>1</v>
      </c>
      <c r="J54" s="46" t="s">
        <v>247</v>
      </c>
      <c r="K54" s="118">
        <f>16/16</f>
        <v>1</v>
      </c>
      <c r="L54" s="118">
        <f>496/496</f>
        <v>1</v>
      </c>
      <c r="M54" s="54" t="s">
        <v>251</v>
      </c>
      <c r="N54" s="68">
        <f>23/23</f>
        <v>1</v>
      </c>
      <c r="O54" s="68">
        <f>519/519</f>
        <v>1</v>
      </c>
      <c r="P54" s="72" t="s">
        <v>250</v>
      </c>
      <c r="Q54" s="80">
        <f>28/28</f>
        <v>1</v>
      </c>
      <c r="R54" s="80">
        <f>547/547</f>
        <v>1</v>
      </c>
      <c r="S54" s="83" t="s">
        <v>249</v>
      </c>
      <c r="T54" s="93">
        <f>41/41</f>
        <v>1</v>
      </c>
      <c r="U54" s="93">
        <f>588/588</f>
        <v>1</v>
      </c>
      <c r="V54" s="99" t="s">
        <v>248</v>
      </c>
      <c r="W54" s="177">
        <f>160/160</f>
        <v>1</v>
      </c>
      <c r="X54" s="177">
        <f>748/748</f>
        <v>1</v>
      </c>
      <c r="Y54" s="177" t="s">
        <v>447</v>
      </c>
      <c r="Z54" s="5" t="s">
        <v>95</v>
      </c>
      <c r="AA54" s="10" t="s">
        <v>115</v>
      </c>
      <c r="AB54" s="35">
        <v>43101</v>
      </c>
    </row>
    <row r="55" spans="1:195" ht="210" x14ac:dyDescent="0.25">
      <c r="A55" s="10" t="s">
        <v>75</v>
      </c>
      <c r="B55" s="10" t="s">
        <v>23</v>
      </c>
      <c r="C55" s="18" t="s">
        <v>19</v>
      </c>
      <c r="D55" s="10" t="s">
        <v>17</v>
      </c>
      <c r="E55" s="10" t="s">
        <v>139</v>
      </c>
      <c r="F55" s="6" t="s">
        <v>149</v>
      </c>
      <c r="G55" s="6" t="s">
        <v>181</v>
      </c>
      <c r="H55" s="6">
        <v>100</v>
      </c>
      <c r="I55" s="48" t="s">
        <v>115</v>
      </c>
      <c r="J55" s="46" t="s">
        <v>252</v>
      </c>
      <c r="K55" s="56" t="s">
        <v>115</v>
      </c>
      <c r="L55" s="56" t="s">
        <v>115</v>
      </c>
      <c r="M55" s="54" t="s">
        <v>253</v>
      </c>
      <c r="N55" s="66" t="s">
        <v>115</v>
      </c>
      <c r="O55" s="66" t="s">
        <v>115</v>
      </c>
      <c r="P55" s="72" t="s">
        <v>254</v>
      </c>
      <c r="Q55" s="81" t="s">
        <v>115</v>
      </c>
      <c r="R55" s="81" t="s">
        <v>115</v>
      </c>
      <c r="S55" s="83" t="s">
        <v>255</v>
      </c>
      <c r="T55" s="92">
        <f>1/1</f>
        <v>1</v>
      </c>
      <c r="U55" s="92">
        <v>0.5</v>
      </c>
      <c r="V55" s="103" t="s">
        <v>256</v>
      </c>
      <c r="W55" s="178" t="s">
        <v>115</v>
      </c>
      <c r="X55" s="181">
        <v>0.5</v>
      </c>
      <c r="Y55" s="178" t="s">
        <v>448</v>
      </c>
      <c r="Z55" s="5" t="s">
        <v>95</v>
      </c>
      <c r="AA55" s="10" t="s">
        <v>163</v>
      </c>
      <c r="AB55" s="35">
        <v>43252</v>
      </c>
    </row>
    <row r="56" spans="1:195" ht="255" x14ac:dyDescent="0.25">
      <c r="A56" s="10" t="s">
        <v>76</v>
      </c>
      <c r="B56" s="10" t="s">
        <v>123</v>
      </c>
      <c r="C56" s="18" t="s">
        <v>104</v>
      </c>
      <c r="D56" s="10" t="s">
        <v>17</v>
      </c>
      <c r="E56" s="10" t="s">
        <v>140</v>
      </c>
      <c r="F56" s="6" t="s">
        <v>149</v>
      </c>
      <c r="G56" s="6" t="s">
        <v>181</v>
      </c>
      <c r="H56" s="6">
        <v>100</v>
      </c>
      <c r="I56" s="117">
        <f>132/132</f>
        <v>1</v>
      </c>
      <c r="J56" s="46" t="s">
        <v>479</v>
      </c>
      <c r="K56" s="118">
        <f>114/114</f>
        <v>1</v>
      </c>
      <c r="L56" s="118">
        <f>246/246</f>
        <v>1</v>
      </c>
      <c r="M56" s="54" t="s">
        <v>257</v>
      </c>
      <c r="N56" s="67">
        <f>119/119</f>
        <v>1</v>
      </c>
      <c r="O56" s="68">
        <f>365/365</f>
        <v>1</v>
      </c>
      <c r="P56" s="72" t="s">
        <v>478</v>
      </c>
      <c r="Q56" s="80">
        <f>115/115</f>
        <v>1</v>
      </c>
      <c r="R56" s="80">
        <f>480/480</f>
        <v>1</v>
      </c>
      <c r="S56" s="83" t="s">
        <v>475</v>
      </c>
      <c r="T56" s="93">
        <f>126/126</f>
        <v>1</v>
      </c>
      <c r="U56" s="93">
        <f>606/606</f>
        <v>1</v>
      </c>
      <c r="V56" s="99" t="s">
        <v>476</v>
      </c>
      <c r="W56" s="177">
        <f>112/112</f>
        <v>1</v>
      </c>
      <c r="X56" s="177">
        <f>718/718</f>
        <v>1</v>
      </c>
      <c r="Y56" s="177" t="s">
        <v>477</v>
      </c>
      <c r="Z56" s="5" t="s">
        <v>95</v>
      </c>
      <c r="AA56" s="10" t="s">
        <v>115</v>
      </c>
      <c r="AB56" s="35">
        <v>43102</v>
      </c>
    </row>
    <row r="57" spans="1:195" ht="409.5" x14ac:dyDescent="0.25">
      <c r="A57" s="10" t="s">
        <v>76</v>
      </c>
      <c r="B57" s="10" t="s">
        <v>124</v>
      </c>
      <c r="C57" s="18" t="s">
        <v>104</v>
      </c>
      <c r="D57" s="10" t="s">
        <v>17</v>
      </c>
      <c r="E57" s="10" t="s">
        <v>140</v>
      </c>
      <c r="F57" s="6" t="s">
        <v>149</v>
      </c>
      <c r="G57" s="6" t="s">
        <v>181</v>
      </c>
      <c r="H57" s="6">
        <v>100</v>
      </c>
      <c r="I57" s="117">
        <f>518/518</f>
        <v>1</v>
      </c>
      <c r="J57" s="46" t="s">
        <v>480</v>
      </c>
      <c r="K57" s="118">
        <f>975/975</f>
        <v>1</v>
      </c>
      <c r="L57" s="118">
        <f>1493/1493</f>
        <v>1</v>
      </c>
      <c r="M57" s="54" t="s">
        <v>481</v>
      </c>
      <c r="N57" s="67">
        <f>925/925</f>
        <v>1</v>
      </c>
      <c r="O57" s="68">
        <f>1418/1418</f>
        <v>1</v>
      </c>
      <c r="P57" s="72" t="s">
        <v>482</v>
      </c>
      <c r="Q57" s="80">
        <f>1154/1154</f>
        <v>1</v>
      </c>
      <c r="R57" s="80">
        <f>3572/3572</f>
        <v>1</v>
      </c>
      <c r="S57" s="83" t="s">
        <v>484</v>
      </c>
      <c r="T57" s="93">
        <f>1282/1282</f>
        <v>1</v>
      </c>
      <c r="U57" s="93">
        <f>4854/4854</f>
        <v>1</v>
      </c>
      <c r="V57" s="99" t="s">
        <v>485</v>
      </c>
      <c r="W57" s="177">
        <f>1057/1057</f>
        <v>1</v>
      </c>
      <c r="X57" s="177">
        <f>5911/5911</f>
        <v>1</v>
      </c>
      <c r="Y57" s="177" t="s">
        <v>483</v>
      </c>
      <c r="Z57" s="5" t="s">
        <v>95</v>
      </c>
      <c r="AA57" s="10" t="s">
        <v>115</v>
      </c>
      <c r="AB57" s="35">
        <v>43102</v>
      </c>
    </row>
    <row r="58" spans="1:195" s="1" customFormat="1" ht="195" x14ac:dyDescent="0.25">
      <c r="A58" s="10" t="s">
        <v>76</v>
      </c>
      <c r="B58" s="10" t="s">
        <v>34</v>
      </c>
      <c r="C58" s="18" t="s">
        <v>104</v>
      </c>
      <c r="D58" s="10" t="s">
        <v>17</v>
      </c>
      <c r="E58" s="10" t="s">
        <v>140</v>
      </c>
      <c r="F58" s="6" t="s">
        <v>149</v>
      </c>
      <c r="G58" s="6" t="s">
        <v>181</v>
      </c>
      <c r="H58" s="6">
        <v>100</v>
      </c>
      <c r="I58" s="124">
        <f>3106181333.61/10204062000</f>
        <v>0.30440635637160968</v>
      </c>
      <c r="J58" s="46" t="s">
        <v>271</v>
      </c>
      <c r="K58" s="123">
        <f>165873055.41/10204062000</f>
        <v>1.6255590705936518E-2</v>
      </c>
      <c r="L58" s="123">
        <f>3272054389.02/10204062000</f>
        <v>0.32066194707754619</v>
      </c>
      <c r="M58" s="54" t="s">
        <v>272</v>
      </c>
      <c r="N58" s="69">
        <f>339186500.44/10204062000</f>
        <v>3.3240340997536082E-2</v>
      </c>
      <c r="O58" s="78">
        <f>3611240889.46/10204062000</f>
        <v>0.35390228807508228</v>
      </c>
      <c r="P58" s="72" t="s">
        <v>273</v>
      </c>
      <c r="Q58" s="90">
        <f>658870799.54/10204062000</f>
        <v>6.4569462586566012E-2</v>
      </c>
      <c r="R58" s="90">
        <f>4270111689/10204062000</f>
        <v>0.41847175066164827</v>
      </c>
      <c r="S58" s="138" t="s">
        <v>274</v>
      </c>
      <c r="T58" s="105">
        <f>886413614.55/10204062000</f>
        <v>8.6868701361281414E-2</v>
      </c>
      <c r="U58" s="105">
        <f>5156525303.55/10204062000</f>
        <v>0.50534045202292976</v>
      </c>
      <c r="V58" s="99" t="s">
        <v>275</v>
      </c>
      <c r="W58" s="180">
        <f>366515377.04/10204062000</f>
        <v>3.5918576057260336E-2</v>
      </c>
      <c r="X58" s="185">
        <f>5523040680.59/10204062000</f>
        <v>0.54125902808019</v>
      </c>
      <c r="Y58" s="177" t="s">
        <v>488</v>
      </c>
      <c r="Z58" s="5" t="s">
        <v>95</v>
      </c>
      <c r="AA58" s="10" t="s">
        <v>115</v>
      </c>
      <c r="AB58" s="35">
        <v>43131</v>
      </c>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row>
    <row r="59" spans="1:195" ht="105" x14ac:dyDescent="0.25">
      <c r="A59" s="10" t="s">
        <v>76</v>
      </c>
      <c r="B59" s="10" t="s">
        <v>125</v>
      </c>
      <c r="C59" s="18" t="s">
        <v>104</v>
      </c>
      <c r="D59" s="10" t="s">
        <v>17</v>
      </c>
      <c r="E59" s="10" t="s">
        <v>140</v>
      </c>
      <c r="F59" s="11" t="s">
        <v>201</v>
      </c>
      <c r="G59" s="11" t="s">
        <v>200</v>
      </c>
      <c r="H59" s="6">
        <v>1</v>
      </c>
      <c r="I59" s="48" t="s">
        <v>115</v>
      </c>
      <c r="J59" s="46" t="s">
        <v>259</v>
      </c>
      <c r="K59" s="56" t="s">
        <v>115</v>
      </c>
      <c r="L59" s="56" t="s">
        <v>115</v>
      </c>
      <c r="M59" s="54" t="s">
        <v>258</v>
      </c>
      <c r="N59" s="66" t="s">
        <v>115</v>
      </c>
      <c r="O59" s="66" t="s">
        <v>115</v>
      </c>
      <c r="P59" s="72" t="s">
        <v>260</v>
      </c>
      <c r="Q59" s="81" t="s">
        <v>115</v>
      </c>
      <c r="R59" s="81" t="s">
        <v>115</v>
      </c>
      <c r="S59" s="83" t="s">
        <v>261</v>
      </c>
      <c r="T59" s="95">
        <v>1</v>
      </c>
      <c r="U59" s="95">
        <v>1</v>
      </c>
      <c r="V59" s="103" t="s">
        <v>486</v>
      </c>
      <c r="W59" s="178" t="s">
        <v>115</v>
      </c>
      <c r="X59" s="200">
        <f>U59</f>
        <v>1</v>
      </c>
      <c r="Y59" s="178" t="s">
        <v>487</v>
      </c>
      <c r="Z59" s="5" t="s">
        <v>95</v>
      </c>
      <c r="AA59" s="10" t="s">
        <v>160</v>
      </c>
      <c r="AB59" s="35">
        <v>43132</v>
      </c>
    </row>
    <row r="60" spans="1:195" ht="354" customHeight="1" x14ac:dyDescent="0.25">
      <c r="A60" s="10" t="s">
        <v>76</v>
      </c>
      <c r="B60" s="21" t="s">
        <v>155</v>
      </c>
      <c r="C60" s="18" t="s">
        <v>104</v>
      </c>
      <c r="D60" s="10" t="s">
        <v>17</v>
      </c>
      <c r="E60" s="10" t="s">
        <v>140</v>
      </c>
      <c r="F60" s="23" t="s">
        <v>149</v>
      </c>
      <c r="G60" s="23" t="s">
        <v>181</v>
      </c>
      <c r="H60" s="23">
        <v>80</v>
      </c>
      <c r="I60" s="49" t="s">
        <v>115</v>
      </c>
      <c r="J60" s="46" t="s">
        <v>262</v>
      </c>
      <c r="K60" s="57" t="s">
        <v>115</v>
      </c>
      <c r="L60" s="57" t="s">
        <v>115</v>
      </c>
      <c r="M60" s="54" t="s">
        <v>263</v>
      </c>
      <c r="N60" s="75" t="s">
        <v>115</v>
      </c>
      <c r="O60" s="75" t="s">
        <v>115</v>
      </c>
      <c r="P60" s="72" t="s">
        <v>264</v>
      </c>
      <c r="Q60" s="86" t="s">
        <v>115</v>
      </c>
      <c r="R60" s="86" t="s">
        <v>115</v>
      </c>
      <c r="S60" s="89" t="s">
        <v>265</v>
      </c>
      <c r="T60" s="136">
        <f>1/2</f>
        <v>0.5</v>
      </c>
      <c r="U60" s="137">
        <f>1/2</f>
        <v>0.5</v>
      </c>
      <c r="V60" s="104" t="s">
        <v>489</v>
      </c>
      <c r="W60" s="188" t="s">
        <v>115</v>
      </c>
      <c r="X60" s="202">
        <f>U60</f>
        <v>0.5</v>
      </c>
      <c r="Y60" s="188" t="s">
        <v>490</v>
      </c>
      <c r="Z60" s="24" t="s">
        <v>95</v>
      </c>
      <c r="AA60" s="10" t="s">
        <v>160</v>
      </c>
      <c r="AB60" s="35">
        <v>43160</v>
      </c>
    </row>
    <row r="61" spans="1:195" ht="409.5" x14ac:dyDescent="0.25">
      <c r="A61" s="10" t="s">
        <v>111</v>
      </c>
      <c r="B61" s="10" t="s">
        <v>126</v>
      </c>
      <c r="C61" s="18" t="s">
        <v>100</v>
      </c>
      <c r="D61" s="10" t="s">
        <v>17</v>
      </c>
      <c r="E61" s="10" t="s">
        <v>146</v>
      </c>
      <c r="F61" s="11" t="s">
        <v>201</v>
      </c>
      <c r="G61" s="11" t="s">
        <v>181</v>
      </c>
      <c r="H61" s="6">
        <v>70</v>
      </c>
      <c r="I61" s="48">
        <v>7</v>
      </c>
      <c r="J61" s="46" t="s">
        <v>266</v>
      </c>
      <c r="K61" s="56">
        <v>13</v>
      </c>
      <c r="L61" s="56">
        <f>I61+K61</f>
        <v>20</v>
      </c>
      <c r="M61" s="54" t="s">
        <v>267</v>
      </c>
      <c r="N61" s="66">
        <v>10</v>
      </c>
      <c r="O61" s="66">
        <f>L61+N61</f>
        <v>30</v>
      </c>
      <c r="P61" s="71" t="s">
        <v>268</v>
      </c>
      <c r="Q61" s="81">
        <v>8</v>
      </c>
      <c r="R61" s="81">
        <f>O61+Q61</f>
        <v>38</v>
      </c>
      <c r="S61" s="87" t="s">
        <v>269</v>
      </c>
      <c r="T61" s="95">
        <v>8</v>
      </c>
      <c r="U61" s="95">
        <f>R61+T61</f>
        <v>46</v>
      </c>
      <c r="V61" s="102" t="s">
        <v>270</v>
      </c>
      <c r="W61" s="200">
        <v>16</v>
      </c>
      <c r="X61" s="200">
        <f>U61+W61</f>
        <v>62</v>
      </c>
      <c r="Y61" s="181" t="s">
        <v>474</v>
      </c>
      <c r="Z61" s="5" t="s">
        <v>95</v>
      </c>
      <c r="AA61" s="10" t="s">
        <v>115</v>
      </c>
      <c r="AB61" s="35">
        <v>43101</v>
      </c>
    </row>
    <row r="62" spans="1:195" ht="285" x14ac:dyDescent="0.25">
      <c r="A62" s="10" t="s">
        <v>50</v>
      </c>
      <c r="B62" s="10" t="s">
        <v>51</v>
      </c>
      <c r="C62" s="18" t="s">
        <v>105</v>
      </c>
      <c r="D62" s="10" t="s">
        <v>2</v>
      </c>
      <c r="E62" s="10" t="s">
        <v>141</v>
      </c>
      <c r="F62" s="6" t="s">
        <v>149</v>
      </c>
      <c r="G62" s="6" t="s">
        <v>200</v>
      </c>
      <c r="H62" s="6">
        <v>100</v>
      </c>
      <c r="I62" s="48" t="s">
        <v>115</v>
      </c>
      <c r="J62" s="46" t="s">
        <v>216</v>
      </c>
      <c r="K62" s="56" t="s">
        <v>115</v>
      </c>
      <c r="L62" s="118">
        <v>0.67</v>
      </c>
      <c r="M62" s="54" t="s">
        <v>216</v>
      </c>
      <c r="N62" s="68" t="s">
        <v>115</v>
      </c>
      <c r="O62" s="67">
        <v>0.67</v>
      </c>
      <c r="P62" s="76" t="s">
        <v>216</v>
      </c>
      <c r="Q62" s="81" t="s">
        <v>115</v>
      </c>
      <c r="R62" s="79">
        <v>0.67</v>
      </c>
      <c r="S62" s="88" t="s">
        <v>216</v>
      </c>
      <c r="T62" s="95" t="s">
        <v>115</v>
      </c>
      <c r="U62" s="203">
        <v>0.67</v>
      </c>
      <c r="V62" s="103" t="s">
        <v>216</v>
      </c>
      <c r="W62" s="178">
        <v>77.5</v>
      </c>
      <c r="X62" s="178">
        <f>W62</f>
        <v>77.5</v>
      </c>
      <c r="Y62" s="178" t="s">
        <v>526</v>
      </c>
      <c r="Z62" s="5" t="s">
        <v>95</v>
      </c>
      <c r="AA62" s="21" t="s">
        <v>168</v>
      </c>
      <c r="AB62" s="35" t="s">
        <v>157</v>
      </c>
    </row>
    <row r="63" spans="1:195" ht="300" x14ac:dyDescent="0.25">
      <c r="A63" s="10" t="s">
        <v>50</v>
      </c>
      <c r="B63" s="10" t="s">
        <v>52</v>
      </c>
      <c r="C63" s="18" t="s">
        <v>105</v>
      </c>
      <c r="D63" s="10" t="s">
        <v>2</v>
      </c>
      <c r="E63" s="10" t="s">
        <v>141</v>
      </c>
      <c r="F63" s="6" t="s">
        <v>149</v>
      </c>
      <c r="G63" s="6" t="s">
        <v>200</v>
      </c>
      <c r="H63" s="6">
        <v>100</v>
      </c>
      <c r="I63" s="48" t="s">
        <v>115</v>
      </c>
      <c r="J63" s="46" t="s">
        <v>217</v>
      </c>
      <c r="K63" s="56" t="s">
        <v>115</v>
      </c>
      <c r="L63" s="118">
        <v>0.54</v>
      </c>
      <c r="M63" s="54" t="s">
        <v>217</v>
      </c>
      <c r="N63" s="68" t="s">
        <v>115</v>
      </c>
      <c r="O63" s="67">
        <v>0.54</v>
      </c>
      <c r="P63" s="76" t="s">
        <v>217</v>
      </c>
      <c r="Q63" s="81" t="s">
        <v>115</v>
      </c>
      <c r="R63" s="79">
        <v>0.54</v>
      </c>
      <c r="S63" s="88" t="s">
        <v>217</v>
      </c>
      <c r="T63" s="95" t="s">
        <v>115</v>
      </c>
      <c r="U63" s="92">
        <v>0.54</v>
      </c>
      <c r="V63" s="103" t="s">
        <v>217</v>
      </c>
      <c r="W63" s="178">
        <v>79.5</v>
      </c>
      <c r="X63" s="178">
        <f>W63</f>
        <v>79.5</v>
      </c>
      <c r="Y63" s="178" t="s">
        <v>529</v>
      </c>
      <c r="Z63" s="5" t="s">
        <v>95</v>
      </c>
      <c r="AA63" s="21" t="s">
        <v>168</v>
      </c>
      <c r="AB63" s="35" t="s">
        <v>157</v>
      </c>
    </row>
    <row r="64" spans="1:195" ht="285" x14ac:dyDescent="0.25">
      <c r="A64" s="10" t="s">
        <v>50</v>
      </c>
      <c r="B64" s="10" t="s">
        <v>53</v>
      </c>
      <c r="C64" s="18" t="s">
        <v>105</v>
      </c>
      <c r="D64" s="10" t="s">
        <v>2</v>
      </c>
      <c r="E64" s="10" t="s">
        <v>141</v>
      </c>
      <c r="F64" s="6" t="s">
        <v>149</v>
      </c>
      <c r="G64" s="6" t="s">
        <v>200</v>
      </c>
      <c r="H64" s="6">
        <v>100</v>
      </c>
      <c r="I64" s="48" t="s">
        <v>115</v>
      </c>
      <c r="J64" s="46" t="s">
        <v>218</v>
      </c>
      <c r="K64" s="56" t="s">
        <v>115</v>
      </c>
      <c r="L64" s="123">
        <v>0.64400000000000002</v>
      </c>
      <c r="M64" s="54" t="s">
        <v>218</v>
      </c>
      <c r="N64" s="68" t="s">
        <v>115</v>
      </c>
      <c r="O64" s="69">
        <v>0.64400000000000002</v>
      </c>
      <c r="P64" s="76" t="s">
        <v>218</v>
      </c>
      <c r="Q64" s="81" t="s">
        <v>115</v>
      </c>
      <c r="R64" s="85">
        <v>0.64400000000000002</v>
      </c>
      <c r="S64" s="88" t="s">
        <v>218</v>
      </c>
      <c r="T64" s="95" t="s">
        <v>115</v>
      </c>
      <c r="U64" s="101">
        <v>0.64400000000000002</v>
      </c>
      <c r="V64" s="103" t="s">
        <v>218</v>
      </c>
      <c r="W64" s="178">
        <v>82.1</v>
      </c>
      <c r="X64" s="178">
        <f>W64</f>
        <v>82.1</v>
      </c>
      <c r="Y64" s="178" t="s">
        <v>527</v>
      </c>
      <c r="Z64" s="5" t="s">
        <v>95</v>
      </c>
      <c r="AA64" s="21" t="s">
        <v>168</v>
      </c>
      <c r="AB64" s="35" t="s">
        <v>157</v>
      </c>
    </row>
    <row r="65" spans="1:168" ht="285" x14ac:dyDescent="0.25">
      <c r="A65" s="10" t="s">
        <v>50</v>
      </c>
      <c r="B65" s="10" t="s">
        <v>35</v>
      </c>
      <c r="C65" s="18" t="s">
        <v>105</v>
      </c>
      <c r="D65" s="10" t="s">
        <v>2</v>
      </c>
      <c r="E65" s="10" t="s">
        <v>141</v>
      </c>
      <c r="F65" s="6" t="s">
        <v>149</v>
      </c>
      <c r="G65" s="6" t="s">
        <v>200</v>
      </c>
      <c r="H65" s="6">
        <v>100</v>
      </c>
      <c r="I65" s="48" t="s">
        <v>115</v>
      </c>
      <c r="J65" s="46" t="s">
        <v>219</v>
      </c>
      <c r="K65" s="56" t="s">
        <v>115</v>
      </c>
      <c r="L65" s="129">
        <v>0.56999999999999995</v>
      </c>
      <c r="M65" s="54" t="s">
        <v>219</v>
      </c>
      <c r="N65" s="68" t="s">
        <v>115</v>
      </c>
      <c r="O65" s="67">
        <v>0.56999999999999995</v>
      </c>
      <c r="P65" s="76" t="s">
        <v>219</v>
      </c>
      <c r="Q65" s="81" t="s">
        <v>115</v>
      </c>
      <c r="R65" s="79">
        <v>0.56999999999999995</v>
      </c>
      <c r="S65" s="88" t="s">
        <v>219</v>
      </c>
      <c r="T65" s="95" t="s">
        <v>115</v>
      </c>
      <c r="U65" s="92">
        <v>0.56999999999999995</v>
      </c>
      <c r="V65" s="103" t="s">
        <v>219</v>
      </c>
      <c r="W65" s="178">
        <v>65.2</v>
      </c>
      <c r="X65" s="178">
        <f>W65</f>
        <v>65.2</v>
      </c>
      <c r="Y65" s="178" t="s">
        <v>528</v>
      </c>
      <c r="Z65" s="5" t="s">
        <v>95</v>
      </c>
      <c r="AA65" s="21" t="s">
        <v>168</v>
      </c>
      <c r="AB65" s="35" t="s">
        <v>157</v>
      </c>
    </row>
    <row r="66" spans="1:168" ht="126.75" customHeight="1" x14ac:dyDescent="0.25">
      <c r="A66" s="10" t="s">
        <v>110</v>
      </c>
      <c r="B66" s="10" t="s">
        <v>80</v>
      </c>
      <c r="C66" s="18" t="s">
        <v>105</v>
      </c>
      <c r="D66" s="10" t="s">
        <v>17</v>
      </c>
      <c r="E66" s="10" t="s">
        <v>97</v>
      </c>
      <c r="F66" s="6" t="s">
        <v>149</v>
      </c>
      <c r="G66" s="6" t="s">
        <v>181</v>
      </c>
      <c r="H66" s="6">
        <v>80</v>
      </c>
      <c r="I66" s="124">
        <f>628/671</f>
        <v>0.93591654247391953</v>
      </c>
      <c r="J66" s="46" t="s">
        <v>220</v>
      </c>
      <c r="K66" s="123">
        <f>1151/1255</f>
        <v>0.91713147410358564</v>
      </c>
      <c r="L66" s="123">
        <f>1779/1926</f>
        <v>0.92367601246105924</v>
      </c>
      <c r="M66" s="54" t="s">
        <v>221</v>
      </c>
      <c r="N66" s="70">
        <f>758/867</f>
        <v>0.87427912341407155</v>
      </c>
      <c r="O66" s="70">
        <f>2537/2793</f>
        <v>0.90834228428213393</v>
      </c>
      <c r="P66" s="78" t="s">
        <v>222</v>
      </c>
      <c r="Q66" s="82">
        <f>592/652</f>
        <v>0.90797546012269936</v>
      </c>
      <c r="R66" s="82">
        <f>3129/3445</f>
        <v>0.90827285921625545</v>
      </c>
      <c r="S66" s="90" t="s">
        <v>223</v>
      </c>
      <c r="T66" s="97">
        <f>551/596</f>
        <v>0.92449664429530198</v>
      </c>
      <c r="U66" s="97">
        <f>3680/4041</f>
        <v>0.91066567681267008</v>
      </c>
      <c r="V66" s="105" t="s">
        <v>224</v>
      </c>
      <c r="W66" s="180">
        <f>504/542</f>
        <v>0.92988929889298888</v>
      </c>
      <c r="X66" s="180">
        <f>4184/4583</f>
        <v>0.91293912284529788</v>
      </c>
      <c r="Y66" s="180" t="s">
        <v>518</v>
      </c>
      <c r="Z66" s="5" t="s">
        <v>92</v>
      </c>
      <c r="AA66" s="4" t="s">
        <v>115</v>
      </c>
      <c r="AB66" s="16"/>
    </row>
    <row r="67" spans="1:168" ht="252.75" customHeight="1" x14ac:dyDescent="0.25">
      <c r="A67" s="10" t="s">
        <v>110</v>
      </c>
      <c r="B67" s="10" t="s">
        <v>85</v>
      </c>
      <c r="C67" s="18" t="s">
        <v>105</v>
      </c>
      <c r="D67" s="10" t="s">
        <v>17</v>
      </c>
      <c r="E67" s="10" t="s">
        <v>97</v>
      </c>
      <c r="F67" s="6" t="s">
        <v>149</v>
      </c>
      <c r="G67" s="6" t="s">
        <v>181</v>
      </c>
      <c r="H67" s="6">
        <v>80</v>
      </c>
      <c r="I67" s="124">
        <f>(484/(628+144))</f>
        <v>0.62694300518134716</v>
      </c>
      <c r="J67" s="46" t="s">
        <v>524</v>
      </c>
      <c r="K67" s="123">
        <f>(957/(1151+194))</f>
        <v>0.71152416356877324</v>
      </c>
      <c r="L67" s="123">
        <f>1441/(1779+338)</f>
        <v>0.6806802078412848</v>
      </c>
      <c r="M67" s="54" t="s">
        <v>523</v>
      </c>
      <c r="N67" s="70">
        <f>(630/(758+127))</f>
        <v>0.71186440677966101</v>
      </c>
      <c r="O67" s="70">
        <f>2071/(2537+465)</f>
        <v>0.689873417721519</v>
      </c>
      <c r="P67" s="72" t="s">
        <v>522</v>
      </c>
      <c r="Q67" s="82">
        <f>(448/(592+144))</f>
        <v>0.60869565217391308</v>
      </c>
      <c r="R67" s="82">
        <f>2519/(3129+609)</f>
        <v>0.67388978063135363</v>
      </c>
      <c r="S67" s="83" t="s">
        <v>521</v>
      </c>
      <c r="T67" s="97">
        <f>(347/(551+204))</f>
        <v>0.45960264900662251</v>
      </c>
      <c r="U67" s="97">
        <f>2866/(3680+813)</f>
        <v>0.63788114845314936</v>
      </c>
      <c r="V67" s="99" t="s">
        <v>519</v>
      </c>
      <c r="W67" s="180">
        <f>365/(504+139)</f>
        <v>0.56765163297045096</v>
      </c>
      <c r="X67" s="185">
        <f>3231/(4184+952)</f>
        <v>0.62908878504672894</v>
      </c>
      <c r="Y67" s="177" t="s">
        <v>520</v>
      </c>
      <c r="Z67" s="5" t="s">
        <v>92</v>
      </c>
      <c r="AA67" s="4" t="s">
        <v>115</v>
      </c>
      <c r="AB67" s="16"/>
    </row>
    <row r="68" spans="1:168" ht="177.75" customHeight="1" x14ac:dyDescent="0.25">
      <c r="A68" s="10" t="s">
        <v>77</v>
      </c>
      <c r="B68" s="10" t="s">
        <v>525</v>
      </c>
      <c r="C68" s="18" t="s">
        <v>104</v>
      </c>
      <c r="D68" s="10" t="s">
        <v>17</v>
      </c>
      <c r="E68" s="10" t="s">
        <v>135</v>
      </c>
      <c r="F68" s="6" t="s">
        <v>149</v>
      </c>
      <c r="G68" s="6" t="s">
        <v>181</v>
      </c>
      <c r="H68" s="6">
        <v>95</v>
      </c>
      <c r="I68" s="124">
        <v>0.44790000000000002</v>
      </c>
      <c r="J68" s="46" t="s">
        <v>530</v>
      </c>
      <c r="K68" s="123">
        <v>4.6300000000000001E-2</v>
      </c>
      <c r="L68" s="123">
        <v>0.49409999999999998</v>
      </c>
      <c r="M68" s="54" t="s">
        <v>531</v>
      </c>
      <c r="N68" s="125">
        <v>8.5900000000000004E-2</v>
      </c>
      <c r="O68" s="70">
        <v>0.57999999999999996</v>
      </c>
      <c r="P68" s="72" t="s">
        <v>532</v>
      </c>
      <c r="Q68" s="82">
        <v>4.3499999999999997E-2</v>
      </c>
      <c r="R68" s="82">
        <v>0.62360000000000004</v>
      </c>
      <c r="S68" s="83" t="s">
        <v>533</v>
      </c>
      <c r="T68" s="97">
        <v>4.36E-2</v>
      </c>
      <c r="U68" s="97">
        <v>0.66720000000000002</v>
      </c>
      <c r="V68" s="99" t="s">
        <v>534</v>
      </c>
      <c r="W68" s="180">
        <f>169743970870.04/3809858820144</f>
        <v>4.455387427285934E-2</v>
      </c>
      <c r="X68" s="199">
        <f>2711617635938.81/3809858820144</f>
        <v>0.71173703907388353</v>
      </c>
      <c r="Y68" s="177" t="s">
        <v>458</v>
      </c>
      <c r="Z68" s="5" t="s">
        <v>95</v>
      </c>
      <c r="AA68" s="4" t="s">
        <v>115</v>
      </c>
      <c r="AB68" s="35">
        <v>43101</v>
      </c>
    </row>
    <row r="69" spans="1:168" ht="150" x14ac:dyDescent="0.25">
      <c r="A69" s="10" t="s">
        <v>77</v>
      </c>
      <c r="B69" s="10" t="s">
        <v>26</v>
      </c>
      <c r="C69" s="18" t="s">
        <v>104</v>
      </c>
      <c r="D69" s="10" t="s">
        <v>2</v>
      </c>
      <c r="E69" s="10" t="s">
        <v>142</v>
      </c>
      <c r="F69" s="11" t="s">
        <v>201</v>
      </c>
      <c r="G69" s="11" t="s">
        <v>200</v>
      </c>
      <c r="H69" s="6">
        <v>1</v>
      </c>
      <c r="I69" s="48" t="s">
        <v>115</v>
      </c>
      <c r="J69" s="48" t="s">
        <v>115</v>
      </c>
      <c r="K69" s="56" t="s">
        <v>115</v>
      </c>
      <c r="L69" s="56" t="s">
        <v>115</v>
      </c>
      <c r="M69" s="56" t="s">
        <v>115</v>
      </c>
      <c r="N69" s="76">
        <v>1</v>
      </c>
      <c r="O69" s="76">
        <v>1</v>
      </c>
      <c r="P69" s="71" t="s">
        <v>203</v>
      </c>
      <c r="Q69" s="87" t="s">
        <v>115</v>
      </c>
      <c r="R69" s="88">
        <f>O69</f>
        <v>1</v>
      </c>
      <c r="S69" s="87" t="s">
        <v>202</v>
      </c>
      <c r="T69" s="102" t="s">
        <v>115</v>
      </c>
      <c r="U69" s="103">
        <f>O69</f>
        <v>1</v>
      </c>
      <c r="V69" s="102" t="s">
        <v>202</v>
      </c>
      <c r="W69" s="181" t="s">
        <v>115</v>
      </c>
      <c r="X69" s="178">
        <f>R69</f>
        <v>1</v>
      </c>
      <c r="Y69" s="181" t="s">
        <v>202</v>
      </c>
      <c r="Z69" s="5" t="s">
        <v>95</v>
      </c>
      <c r="AA69" s="4" t="s">
        <v>115</v>
      </c>
      <c r="AB69" s="35">
        <v>43132</v>
      </c>
    </row>
    <row r="70" spans="1:168" s="1" customFormat="1" ht="120" x14ac:dyDescent="0.25">
      <c r="A70" s="10" t="s">
        <v>78</v>
      </c>
      <c r="B70" s="10" t="s">
        <v>127</v>
      </c>
      <c r="C70" s="18" t="s">
        <v>104</v>
      </c>
      <c r="D70" s="10" t="s">
        <v>2</v>
      </c>
      <c r="E70" s="10" t="s">
        <v>142</v>
      </c>
      <c r="F70" s="11" t="s">
        <v>201</v>
      </c>
      <c r="G70" s="11" t="s">
        <v>208</v>
      </c>
      <c r="H70" s="6">
        <v>3</v>
      </c>
      <c r="I70" s="48" t="s">
        <v>115</v>
      </c>
      <c r="J70" s="46" t="s">
        <v>205</v>
      </c>
      <c r="K70" s="215" t="s">
        <v>115</v>
      </c>
      <c r="L70" s="215" t="s">
        <v>115</v>
      </c>
      <c r="M70" s="216" t="s">
        <v>206</v>
      </c>
      <c r="N70" s="76" t="s">
        <v>115</v>
      </c>
      <c r="O70" s="76" t="s">
        <v>115</v>
      </c>
      <c r="P70" s="76" t="s">
        <v>206</v>
      </c>
      <c r="Q70" s="88">
        <v>1</v>
      </c>
      <c r="R70" s="88">
        <v>1</v>
      </c>
      <c r="S70" s="88" t="s">
        <v>204</v>
      </c>
      <c r="T70" s="103" t="s">
        <v>115</v>
      </c>
      <c r="U70" s="103">
        <f>R70</f>
        <v>1</v>
      </c>
      <c r="V70" s="103" t="s">
        <v>207</v>
      </c>
      <c r="W70" s="178" t="s">
        <v>115</v>
      </c>
      <c r="X70" s="178">
        <f>U70</f>
        <v>1</v>
      </c>
      <c r="Y70" s="178" t="s">
        <v>207</v>
      </c>
      <c r="Z70" s="5" t="s">
        <v>95</v>
      </c>
      <c r="AA70" s="10" t="s">
        <v>161</v>
      </c>
      <c r="AB70" s="35">
        <v>43191</v>
      </c>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row>
    <row r="71" spans="1:168" ht="84" customHeight="1" x14ac:dyDescent="0.25">
      <c r="A71" s="10" t="s">
        <v>79</v>
      </c>
      <c r="B71" s="10" t="s">
        <v>128</v>
      </c>
      <c r="C71" s="18" t="s">
        <v>99</v>
      </c>
      <c r="D71" s="10" t="s">
        <v>2</v>
      </c>
      <c r="E71" s="10" t="s">
        <v>142</v>
      </c>
      <c r="F71" s="6" t="s">
        <v>149</v>
      </c>
      <c r="G71" s="6" t="s">
        <v>209</v>
      </c>
      <c r="H71" s="6">
        <v>90</v>
      </c>
      <c r="I71" s="48" t="s">
        <v>115</v>
      </c>
      <c r="J71" s="48" t="s">
        <v>115</v>
      </c>
      <c r="K71" s="56" t="s">
        <v>115</v>
      </c>
      <c r="L71" s="56" t="s">
        <v>115</v>
      </c>
      <c r="M71" s="56" t="s">
        <v>115</v>
      </c>
      <c r="N71" s="77" t="s">
        <v>115</v>
      </c>
      <c r="O71" s="77" t="s">
        <v>115</v>
      </c>
      <c r="P71" s="77" t="s">
        <v>115</v>
      </c>
      <c r="Q71" s="126">
        <f>57/112</f>
        <v>0.5089285714285714</v>
      </c>
      <c r="R71" s="127">
        <f>57/112</f>
        <v>0.5089285714285714</v>
      </c>
      <c r="S71" s="89" t="s">
        <v>215</v>
      </c>
      <c r="T71" s="104" t="s">
        <v>115</v>
      </c>
      <c r="U71" s="128">
        <f>R71</f>
        <v>0.5089285714285714</v>
      </c>
      <c r="V71" s="104" t="s">
        <v>446</v>
      </c>
      <c r="W71" s="188" t="s">
        <v>115</v>
      </c>
      <c r="X71" s="189">
        <f>R71</f>
        <v>0.5089285714285714</v>
      </c>
      <c r="Y71" s="188" t="s">
        <v>446</v>
      </c>
      <c r="Z71" s="5" t="s">
        <v>95</v>
      </c>
      <c r="AA71" s="10" t="s">
        <v>162</v>
      </c>
      <c r="AB71" s="35">
        <v>43221</v>
      </c>
    </row>
    <row r="72" spans="1:168" ht="409.5" x14ac:dyDescent="0.25">
      <c r="A72" s="10" t="s">
        <v>43</v>
      </c>
      <c r="B72" s="10" t="s">
        <v>44</v>
      </c>
      <c r="C72" s="18" t="s">
        <v>45</v>
      </c>
      <c r="D72" s="10" t="s">
        <v>2</v>
      </c>
      <c r="E72" s="10" t="s">
        <v>143</v>
      </c>
      <c r="F72" s="11" t="s">
        <v>201</v>
      </c>
      <c r="G72" s="11" t="s">
        <v>181</v>
      </c>
      <c r="H72" s="6">
        <v>2</v>
      </c>
      <c r="I72" s="48" t="s">
        <v>115</v>
      </c>
      <c r="J72" s="46" t="s">
        <v>210</v>
      </c>
      <c r="K72" s="56" t="s">
        <v>115</v>
      </c>
      <c r="L72" s="56" t="s">
        <v>115</v>
      </c>
      <c r="M72" s="54" t="s">
        <v>211</v>
      </c>
      <c r="N72" s="77" t="s">
        <v>115</v>
      </c>
      <c r="O72" s="77" t="s">
        <v>115</v>
      </c>
      <c r="P72" s="77" t="s">
        <v>212</v>
      </c>
      <c r="Q72" s="89" t="s">
        <v>115</v>
      </c>
      <c r="R72" s="89" t="s">
        <v>115</v>
      </c>
      <c r="S72" s="89" t="s">
        <v>213</v>
      </c>
      <c r="T72" s="104" t="s">
        <v>115</v>
      </c>
      <c r="U72" s="104" t="s">
        <v>115</v>
      </c>
      <c r="V72" s="104" t="s">
        <v>214</v>
      </c>
      <c r="W72" s="188" t="s">
        <v>115</v>
      </c>
      <c r="X72" s="188" t="s">
        <v>115</v>
      </c>
      <c r="Y72" s="188" t="s">
        <v>456</v>
      </c>
      <c r="Z72" s="5" t="s">
        <v>95</v>
      </c>
      <c r="AA72" s="10" t="s">
        <v>166</v>
      </c>
      <c r="AB72" s="35">
        <v>43282</v>
      </c>
    </row>
    <row r="73" spans="1:168" ht="390" x14ac:dyDescent="0.25">
      <c r="A73" s="10" t="s">
        <v>43</v>
      </c>
      <c r="B73" s="10" t="s">
        <v>81</v>
      </c>
      <c r="C73" s="18" t="s">
        <v>45</v>
      </c>
      <c r="D73" s="10" t="s">
        <v>2</v>
      </c>
      <c r="E73" s="10" t="s">
        <v>143</v>
      </c>
      <c r="F73" s="6" t="s">
        <v>149</v>
      </c>
      <c r="G73" s="6" t="s">
        <v>181</v>
      </c>
      <c r="H73" s="6">
        <v>100</v>
      </c>
      <c r="I73" s="117">
        <f>4/4</f>
        <v>1</v>
      </c>
      <c r="J73" s="46" t="s">
        <v>491</v>
      </c>
      <c r="K73" s="123">
        <f>10/12</f>
        <v>0.83333333333333337</v>
      </c>
      <c r="L73" s="123">
        <f>14/16</f>
        <v>0.875</v>
      </c>
      <c r="M73" s="54" t="s">
        <v>493</v>
      </c>
      <c r="N73" s="72">
        <f>4/4</f>
        <v>1</v>
      </c>
      <c r="O73" s="72">
        <f>18/20</f>
        <v>0.9</v>
      </c>
      <c r="P73" s="78" t="s">
        <v>492</v>
      </c>
      <c r="Q73" s="90">
        <f>2/6</f>
        <v>0.33333333333333331</v>
      </c>
      <c r="R73" s="90">
        <f>20/26</f>
        <v>0.76923076923076927</v>
      </c>
      <c r="S73" s="90" t="s">
        <v>494</v>
      </c>
      <c r="T73" s="99">
        <f>1/1</f>
        <v>1</v>
      </c>
      <c r="U73" s="105">
        <f>21/27</f>
        <v>0.77777777777777779</v>
      </c>
      <c r="V73" s="128" t="s">
        <v>495</v>
      </c>
      <c r="W73" s="202">
        <f>3/4</f>
        <v>0.75</v>
      </c>
      <c r="X73" s="189">
        <f>24/31</f>
        <v>0.77419354838709675</v>
      </c>
      <c r="Y73" s="189" t="s">
        <v>496</v>
      </c>
      <c r="Z73" s="5" t="s">
        <v>92</v>
      </c>
      <c r="AA73" s="4" t="s">
        <v>115</v>
      </c>
      <c r="AB73" s="16"/>
    </row>
    <row r="74" spans="1:168" s="144" customFormat="1" ht="197.25" customHeight="1" x14ac:dyDescent="0.25">
      <c r="A74" s="10" t="s">
        <v>36</v>
      </c>
      <c r="B74" s="10" t="s">
        <v>4</v>
      </c>
      <c r="C74" s="18" t="s">
        <v>19</v>
      </c>
      <c r="D74" s="10" t="s">
        <v>17</v>
      </c>
      <c r="E74" s="10" t="s">
        <v>144</v>
      </c>
      <c r="F74" s="6" t="s">
        <v>149</v>
      </c>
      <c r="G74" s="6" t="s">
        <v>188</v>
      </c>
      <c r="H74" s="6">
        <v>90</v>
      </c>
      <c r="I74" s="48" t="s">
        <v>115</v>
      </c>
      <c r="J74" s="46" t="s">
        <v>300</v>
      </c>
      <c r="K74" s="56" t="s">
        <v>115</v>
      </c>
      <c r="L74" s="56" t="s">
        <v>115</v>
      </c>
      <c r="M74" s="54" t="s">
        <v>300</v>
      </c>
      <c r="N74" s="66" t="s">
        <v>115</v>
      </c>
      <c r="O74" s="66" t="s">
        <v>115</v>
      </c>
      <c r="P74" s="119" t="s">
        <v>300</v>
      </c>
      <c r="Q74" s="81" t="s">
        <v>115</v>
      </c>
      <c r="R74" s="81" t="s">
        <v>115</v>
      </c>
      <c r="S74" s="120" t="s">
        <v>300</v>
      </c>
      <c r="T74" s="95" t="s">
        <v>115</v>
      </c>
      <c r="U74" s="95" t="s">
        <v>115</v>
      </c>
      <c r="V74" s="121" t="s">
        <v>300</v>
      </c>
      <c r="W74" s="184">
        <f>2/5</f>
        <v>0.4</v>
      </c>
      <c r="X74" s="184">
        <f>W74</f>
        <v>0.4</v>
      </c>
      <c r="Y74" s="184" t="s">
        <v>470</v>
      </c>
      <c r="Z74" s="5" t="s">
        <v>95</v>
      </c>
      <c r="AA74" s="10" t="s">
        <v>163</v>
      </c>
      <c r="AB74" s="35">
        <v>43252</v>
      </c>
      <c r="AC74" s="2"/>
      <c r="AD74" s="147"/>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row>
    <row r="75" spans="1:168" ht="239.25" customHeight="1" x14ac:dyDescent="0.25">
      <c r="A75" s="10" t="s">
        <v>36</v>
      </c>
      <c r="B75" s="10" t="s">
        <v>37</v>
      </c>
      <c r="C75" s="18" t="s">
        <v>19</v>
      </c>
      <c r="D75" s="10" t="s">
        <v>17</v>
      </c>
      <c r="E75" s="10" t="s">
        <v>144</v>
      </c>
      <c r="F75" s="6" t="s">
        <v>149</v>
      </c>
      <c r="G75" s="6" t="s">
        <v>188</v>
      </c>
      <c r="H75" s="6">
        <v>100</v>
      </c>
      <c r="I75" s="48" t="s">
        <v>115</v>
      </c>
      <c r="J75" s="48" t="s">
        <v>115</v>
      </c>
      <c r="K75" s="118">
        <f>3/3</f>
        <v>1</v>
      </c>
      <c r="L75" s="118">
        <f>3/3</f>
        <v>1</v>
      </c>
      <c r="M75" s="54" t="s">
        <v>295</v>
      </c>
      <c r="N75" s="68" t="s">
        <v>115</v>
      </c>
      <c r="O75" s="68">
        <f>L75</f>
        <v>1</v>
      </c>
      <c r="P75" s="119" t="s">
        <v>296</v>
      </c>
      <c r="Q75" s="80" t="s">
        <v>115</v>
      </c>
      <c r="R75" s="80">
        <f>L75</f>
        <v>1</v>
      </c>
      <c r="S75" s="120" t="s">
        <v>296</v>
      </c>
      <c r="T75" s="93" t="s">
        <v>115</v>
      </c>
      <c r="U75" s="93">
        <f>L75</f>
        <v>1</v>
      </c>
      <c r="V75" s="121" t="s">
        <v>296</v>
      </c>
      <c r="W75" s="176" t="s">
        <v>115</v>
      </c>
      <c r="X75" s="176">
        <f>O75</f>
        <v>1</v>
      </c>
      <c r="Y75" s="182" t="s">
        <v>296</v>
      </c>
      <c r="Z75" s="5" t="s">
        <v>95</v>
      </c>
      <c r="AA75" s="10" t="s">
        <v>115</v>
      </c>
      <c r="AB75" s="35">
        <v>43132</v>
      </c>
    </row>
    <row r="76" spans="1:168" ht="162" customHeight="1" x14ac:dyDescent="0.25">
      <c r="A76" s="10" t="s">
        <v>36</v>
      </c>
      <c r="B76" s="10" t="s">
        <v>38</v>
      </c>
      <c r="C76" s="18" t="s">
        <v>19</v>
      </c>
      <c r="D76" s="10" t="s">
        <v>17</v>
      </c>
      <c r="E76" s="10" t="s">
        <v>144</v>
      </c>
      <c r="F76" s="6" t="s">
        <v>149</v>
      </c>
      <c r="G76" s="6" t="s">
        <v>208</v>
      </c>
      <c r="H76" s="6">
        <v>90</v>
      </c>
      <c r="I76" s="48" t="s">
        <v>115</v>
      </c>
      <c r="J76" s="48" t="s">
        <v>115</v>
      </c>
      <c r="K76" s="56" t="s">
        <v>115</v>
      </c>
      <c r="L76" s="56" t="s">
        <v>115</v>
      </c>
      <c r="M76" s="56" t="s">
        <v>115</v>
      </c>
      <c r="N76" s="69">
        <f>(71/308)</f>
        <v>0.23051948051948051</v>
      </c>
      <c r="O76" s="70">
        <f>71/308</f>
        <v>0.23051948051948051</v>
      </c>
      <c r="P76" s="72" t="s">
        <v>297</v>
      </c>
      <c r="Q76" s="80" t="s">
        <v>115</v>
      </c>
      <c r="R76" s="82">
        <f>O76</f>
        <v>0.23051948051948051</v>
      </c>
      <c r="S76" s="80" t="s">
        <v>115</v>
      </c>
      <c r="T76" s="93" t="s">
        <v>115</v>
      </c>
      <c r="U76" s="97">
        <f>R76</f>
        <v>0.23051948051948051</v>
      </c>
      <c r="V76" s="93" t="s">
        <v>115</v>
      </c>
      <c r="W76" s="191">
        <f>76/308</f>
        <v>0.24675324675324675</v>
      </c>
      <c r="X76" s="191">
        <f>147/308</f>
        <v>0.47727272727272729</v>
      </c>
      <c r="Y76" s="182" t="s">
        <v>472</v>
      </c>
      <c r="Z76" s="5" t="s">
        <v>95</v>
      </c>
      <c r="AA76" s="10" t="s">
        <v>115</v>
      </c>
      <c r="AB76" s="35">
        <v>43101</v>
      </c>
    </row>
    <row r="77" spans="1:168" s="146" customFormat="1" ht="95.25" customHeight="1" x14ac:dyDescent="0.25">
      <c r="A77" s="21" t="s">
        <v>36</v>
      </c>
      <c r="B77" s="21" t="s">
        <v>39</v>
      </c>
      <c r="C77" s="18" t="s">
        <v>19</v>
      </c>
      <c r="D77" s="10" t="s">
        <v>17</v>
      </c>
      <c r="E77" s="10" t="s">
        <v>144</v>
      </c>
      <c r="F77" s="23" t="s">
        <v>149</v>
      </c>
      <c r="G77" s="23" t="s">
        <v>188</v>
      </c>
      <c r="H77" s="23">
        <v>90</v>
      </c>
      <c r="I77" s="48" t="s">
        <v>115</v>
      </c>
      <c r="J77" s="46" t="s">
        <v>299</v>
      </c>
      <c r="K77" s="56" t="s">
        <v>115</v>
      </c>
      <c r="L77" s="56" t="s">
        <v>115</v>
      </c>
      <c r="M77" s="54" t="s">
        <v>299</v>
      </c>
      <c r="N77" s="66" t="s">
        <v>115</v>
      </c>
      <c r="O77" s="66" t="s">
        <v>115</v>
      </c>
      <c r="P77" s="119" t="s">
        <v>299</v>
      </c>
      <c r="Q77" s="81" t="s">
        <v>115</v>
      </c>
      <c r="R77" s="81" t="s">
        <v>115</v>
      </c>
      <c r="S77" s="120" t="s">
        <v>299</v>
      </c>
      <c r="T77" s="95" t="s">
        <v>115</v>
      </c>
      <c r="U77" s="95" t="s">
        <v>115</v>
      </c>
      <c r="V77" s="121" t="s">
        <v>299</v>
      </c>
      <c r="W77" s="185">
        <f>24/55</f>
        <v>0.43636363636363634</v>
      </c>
      <c r="X77" s="185">
        <f>24/55</f>
        <v>0.43636363636363634</v>
      </c>
      <c r="Y77" s="182" t="s">
        <v>471</v>
      </c>
      <c r="Z77" s="24" t="s">
        <v>95</v>
      </c>
      <c r="AA77" s="21" t="s">
        <v>161</v>
      </c>
      <c r="AB77" s="35">
        <v>43191</v>
      </c>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c r="CN77" s="145"/>
      <c r="CO77" s="145"/>
    </row>
    <row r="78" spans="1:168" s="144" customFormat="1" ht="119.25" customHeight="1" x14ac:dyDescent="0.25">
      <c r="A78" s="10" t="s">
        <v>36</v>
      </c>
      <c r="B78" s="10" t="s">
        <v>40</v>
      </c>
      <c r="C78" s="18" t="s">
        <v>19</v>
      </c>
      <c r="D78" s="10" t="s">
        <v>17</v>
      </c>
      <c r="E78" s="10" t="s">
        <v>144</v>
      </c>
      <c r="F78" s="6" t="s">
        <v>149</v>
      </c>
      <c r="G78" s="6" t="s">
        <v>188</v>
      </c>
      <c r="H78" s="6">
        <v>90</v>
      </c>
      <c r="I78" s="48" t="s">
        <v>115</v>
      </c>
      <c r="J78" s="46" t="s">
        <v>298</v>
      </c>
      <c r="K78" s="56" t="s">
        <v>115</v>
      </c>
      <c r="L78" s="56" t="s">
        <v>115</v>
      </c>
      <c r="M78" s="54" t="s">
        <v>298</v>
      </c>
      <c r="N78" s="66" t="s">
        <v>115</v>
      </c>
      <c r="O78" s="66" t="s">
        <v>115</v>
      </c>
      <c r="P78" s="119" t="s">
        <v>298</v>
      </c>
      <c r="Q78" s="81" t="s">
        <v>115</v>
      </c>
      <c r="R78" s="81" t="s">
        <v>115</v>
      </c>
      <c r="S78" s="120" t="s">
        <v>298</v>
      </c>
      <c r="T78" s="95" t="s">
        <v>115</v>
      </c>
      <c r="U78" s="95" t="s">
        <v>115</v>
      </c>
      <c r="V78" s="121" t="s">
        <v>298</v>
      </c>
      <c r="W78" s="185">
        <f>2/3</f>
        <v>0.66666666666666663</v>
      </c>
      <c r="X78" s="180">
        <f>W78</f>
        <v>0.66666666666666663</v>
      </c>
      <c r="Y78" s="182" t="s">
        <v>473</v>
      </c>
      <c r="Z78" s="5" t="s">
        <v>95</v>
      </c>
      <c r="AA78" s="10" t="s">
        <v>162</v>
      </c>
      <c r="AB78" s="35">
        <v>43221</v>
      </c>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row>
    <row r="79" spans="1:168" ht="150" customHeight="1" x14ac:dyDescent="0.25">
      <c r="A79" s="10" t="s">
        <v>47</v>
      </c>
      <c r="B79" s="10" t="s">
        <v>48</v>
      </c>
      <c r="C79" s="18" t="s">
        <v>49</v>
      </c>
      <c r="D79" s="10" t="s">
        <v>5</v>
      </c>
      <c r="E79" s="10" t="s">
        <v>145</v>
      </c>
      <c r="F79" s="6" t="s">
        <v>149</v>
      </c>
      <c r="G79" s="6" t="s">
        <v>181</v>
      </c>
      <c r="H79" s="6">
        <v>100</v>
      </c>
      <c r="I79" s="117">
        <f>33/33</f>
        <v>1</v>
      </c>
      <c r="J79" s="46" t="s">
        <v>195</v>
      </c>
      <c r="K79" s="118">
        <f>36/36</f>
        <v>1</v>
      </c>
      <c r="L79" s="123">
        <f>69/312</f>
        <v>0.22115384615384615</v>
      </c>
      <c r="M79" s="54" t="s">
        <v>196</v>
      </c>
      <c r="N79" s="67">
        <f>18/18</f>
        <v>1</v>
      </c>
      <c r="O79" s="70">
        <f>87/312</f>
        <v>0.27884615384615385</v>
      </c>
      <c r="P79" s="72" t="s">
        <v>197</v>
      </c>
      <c r="Q79" s="80">
        <f>38/38</f>
        <v>1</v>
      </c>
      <c r="R79" s="82">
        <f>125/312</f>
        <v>0.40064102564102566</v>
      </c>
      <c r="S79" s="83" t="s">
        <v>198</v>
      </c>
      <c r="T79" s="93">
        <f>34/34</f>
        <v>1</v>
      </c>
      <c r="U79" s="97">
        <f>159/312</f>
        <v>0.50961538461538458</v>
      </c>
      <c r="V79" s="99" t="s">
        <v>199</v>
      </c>
      <c r="W79" s="177">
        <f>12/12</f>
        <v>1</v>
      </c>
      <c r="X79" s="180">
        <f>171/312</f>
        <v>0.54807692307692313</v>
      </c>
      <c r="Y79" s="177" t="s">
        <v>433</v>
      </c>
      <c r="Z79" s="5" t="s">
        <v>95</v>
      </c>
      <c r="AA79" s="10" t="s">
        <v>115</v>
      </c>
      <c r="AB79" s="35">
        <v>43132</v>
      </c>
    </row>
    <row r="80" spans="1:168" ht="195" x14ac:dyDescent="0.25">
      <c r="A80" s="10" t="s">
        <v>46</v>
      </c>
      <c r="B80" s="10" t="s">
        <v>174</v>
      </c>
      <c r="C80" s="18" t="s">
        <v>102</v>
      </c>
      <c r="D80" s="10" t="s">
        <v>17</v>
      </c>
      <c r="E80" s="10" t="s">
        <v>171</v>
      </c>
      <c r="F80" s="6" t="s">
        <v>149</v>
      </c>
      <c r="G80" s="6" t="s">
        <v>181</v>
      </c>
      <c r="H80" s="6">
        <v>100</v>
      </c>
      <c r="I80" s="117">
        <f>35/35</f>
        <v>1</v>
      </c>
      <c r="J80" s="46" t="s">
        <v>191</v>
      </c>
      <c r="K80" s="118">
        <f>53/53</f>
        <v>1</v>
      </c>
      <c r="L80" s="118">
        <f>88/88</f>
        <v>1</v>
      </c>
      <c r="M80" s="54" t="s">
        <v>192</v>
      </c>
      <c r="N80" s="67">
        <f>41/41</f>
        <v>1</v>
      </c>
      <c r="O80" s="68">
        <f>129/129</f>
        <v>1</v>
      </c>
      <c r="P80" s="119" t="s">
        <v>193</v>
      </c>
      <c r="Q80" s="80">
        <f>86/86</f>
        <v>1</v>
      </c>
      <c r="R80" s="80">
        <f>215/215</f>
        <v>1</v>
      </c>
      <c r="S80" s="120" t="s">
        <v>194</v>
      </c>
      <c r="T80" s="93">
        <f>54/54</f>
        <v>1</v>
      </c>
      <c r="U80" s="93">
        <f>269/269</f>
        <v>1</v>
      </c>
      <c r="V80" s="121" t="s">
        <v>429</v>
      </c>
      <c r="W80" s="181">
        <f>55/55</f>
        <v>1</v>
      </c>
      <c r="X80" s="181">
        <f>324/324</f>
        <v>1</v>
      </c>
      <c r="Y80" s="182" t="s">
        <v>431</v>
      </c>
      <c r="Z80" s="5" t="s">
        <v>95</v>
      </c>
      <c r="AA80" s="10" t="s">
        <v>115</v>
      </c>
      <c r="AB80" s="35">
        <v>43101</v>
      </c>
    </row>
    <row r="81" spans="1:155" s="3" customFormat="1" ht="116.25" customHeight="1" x14ac:dyDescent="0.25">
      <c r="A81" s="10" t="s">
        <v>46</v>
      </c>
      <c r="B81" s="10" t="s">
        <v>173</v>
      </c>
      <c r="C81" s="18" t="s">
        <v>102</v>
      </c>
      <c r="D81" s="10" t="s">
        <v>17</v>
      </c>
      <c r="E81" s="10" t="s">
        <v>172</v>
      </c>
      <c r="F81" s="6" t="s">
        <v>149</v>
      </c>
      <c r="G81" s="6" t="s">
        <v>181</v>
      </c>
      <c r="H81" s="6">
        <v>100</v>
      </c>
      <c r="I81" s="48" t="s">
        <v>115</v>
      </c>
      <c r="J81" s="46" t="s">
        <v>419</v>
      </c>
      <c r="K81" s="56" t="s">
        <v>115</v>
      </c>
      <c r="L81" s="56" t="s">
        <v>115</v>
      </c>
      <c r="M81" s="54" t="s">
        <v>419</v>
      </c>
      <c r="N81" s="67" t="s">
        <v>115</v>
      </c>
      <c r="O81" s="68" t="s">
        <v>115</v>
      </c>
      <c r="P81" s="119" t="s">
        <v>419</v>
      </c>
      <c r="Q81" s="80">
        <f>356/356</f>
        <v>1</v>
      </c>
      <c r="R81" s="80">
        <f>356/356</f>
        <v>1</v>
      </c>
      <c r="S81" s="120" t="s">
        <v>420</v>
      </c>
      <c r="T81" s="93">
        <f>306/306</f>
        <v>1</v>
      </c>
      <c r="U81" s="93">
        <f>(356+306)/(356+306)</f>
        <v>1</v>
      </c>
      <c r="V81" s="121" t="s">
        <v>421</v>
      </c>
      <c r="W81" s="181">
        <f>227/227</f>
        <v>1</v>
      </c>
      <c r="X81" s="181">
        <f>(356+306+227)/(356+306+227)</f>
        <v>1</v>
      </c>
      <c r="Y81" s="182" t="s">
        <v>430</v>
      </c>
      <c r="Z81" s="5" t="s">
        <v>92</v>
      </c>
      <c r="AA81" s="10" t="s">
        <v>115</v>
      </c>
      <c r="AB81" s="35" t="s">
        <v>115</v>
      </c>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row>
    <row r="82" spans="1:155" x14ac:dyDescent="0.25">
      <c r="K82" s="135"/>
    </row>
    <row r="83" spans="1:155" x14ac:dyDescent="0.25">
      <c r="I83" s="122"/>
      <c r="O83" s="161"/>
    </row>
    <row r="84" spans="1:155" x14ac:dyDescent="0.25">
      <c r="H84" s="147"/>
    </row>
    <row r="120" spans="10:10" x14ac:dyDescent="0.25">
      <c r="J120" s="217">
        <f>365/(504+139)</f>
        <v>0.56765163297045096</v>
      </c>
    </row>
  </sheetData>
  <autoFilter ref="A1:AB81">
    <filterColumn colId="3" showButton="0"/>
  </autoFilter>
  <mergeCells count="1">
    <mergeCell ref="D1:E1"/>
  </mergeCells>
  <pageMargins left="0.7" right="0.7" top="0.75" bottom="0.75" header="0.3" footer="0.3"/>
  <pageSetup orientation="portrait" r:id="rId1"/>
  <ignoredErrors>
    <ignoredError sqref="O3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_x00f1_o xmlns="5315b6a4-8d4a-43ca-898a-317869ffffcc">2018</A_x00f1_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E889EEE52017940AF7C28DFEA78A7A6" ma:contentTypeVersion="2" ma:contentTypeDescription="Crear nuevo documento." ma:contentTypeScope="" ma:versionID="9b3f974e96ebe2c7b3599ba4a798d1d0">
  <xsd:schema xmlns:xsd="http://www.w3.org/2001/XMLSchema" xmlns:xs="http://www.w3.org/2001/XMLSchema" xmlns:p="http://schemas.microsoft.com/office/2006/metadata/properties" xmlns:ns2="5315b6a4-8d4a-43ca-898a-317869ffffcc" targetNamespace="http://schemas.microsoft.com/office/2006/metadata/properties" ma:root="true" ma:fieldsID="22284d16fa74336bfd2f251b1fdf753b" ns2:_="">
    <xsd:import namespace="5315b6a4-8d4a-43ca-898a-317869ffffcc"/>
    <xsd:element name="properties">
      <xsd:complexType>
        <xsd:sequence>
          <xsd:element name="documentManagement">
            <xsd:complexType>
              <xsd:all>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5b6a4-8d4a-43ca-898a-317869ffffcc" elementFormDefault="qualified">
    <xsd:import namespace="http://schemas.microsoft.com/office/2006/documentManagement/types"/>
    <xsd:import namespace="http://schemas.microsoft.com/office/infopath/2007/PartnerControls"/>
    <xsd:element name="A_x00f1_o" ma:index="8" nillable="true" ma:displayName="Año" ma:default="2019"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4D82E-ACBC-40C3-84AE-DEA0DBE98DE9}"/>
</file>

<file path=customXml/itemProps2.xml><?xml version="1.0" encoding="utf-8"?>
<ds:datastoreItem xmlns:ds="http://schemas.openxmlformats.org/officeDocument/2006/customXml" ds:itemID="{DB6CC64A-7EB8-44AF-9E70-94DF2CA7C83B}"/>
</file>

<file path=customXml/itemProps3.xml><?xml version="1.0" encoding="utf-8"?>
<ds:datastoreItem xmlns:ds="http://schemas.openxmlformats.org/officeDocument/2006/customXml" ds:itemID="{F766DD91-AB1D-430D-99F1-4AEE48B036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 Indicadores MVCT II Trimestre Vigencia 2018 Borrador </dc:title>
  <dc:creator>Hernando Francisco Olaya Román</dc:creator>
  <cp:lastModifiedBy>Nelson Yesid Rodriguez Bernal</cp:lastModifiedBy>
  <dcterms:created xsi:type="dcterms:W3CDTF">2017-10-17T22:32:44Z</dcterms:created>
  <dcterms:modified xsi:type="dcterms:W3CDTF">2018-07-27T16:19:49Z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0x0101008E889EEE52017940AF7C28DFEA78A7A6</vt:lpwstr>
  </property>
</Properties>
</file>